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+General\ESTADISTICAS ISA\PRESUPUESTOS\PRESUPUESTOS 2026\Anexo Presupuesto I+D  01.01.26\4. Actualización bases cotización efectos 01.01.26 a 01.04.26\"/>
    </mc:Choice>
  </mc:AlternateContent>
  <xr:revisionPtr revIDLastSave="0" documentId="13_ncr:1_{48BFBFF4-6B03-4A05-AD87-289B90C84819}" xr6:coauthVersionLast="47" xr6:coauthVersionMax="47" xr10:uidLastSave="{00000000-0000-0000-0000-000000000000}"/>
  <workbookProtection workbookAlgorithmName="SHA-512" workbookHashValue="OOvwiQVwNcy4RnwNsi3oAmOEdc56YvqJagugsTbRsU/g9NHaZ5AzojAKFqxwzG1QjucAdOjBKnmyg8usDrNNWA==" workbookSaltValue="SPZHvHvFui7frIjdYUit3A==" workbookSpinCount="100000" lockStructure="1"/>
  <bookViews>
    <workbookView xWindow="-120" yWindow="-120" windowWidth="29040" windowHeight="15720" tabRatio="859" xr2:uid="{00000000-000D-0000-FFFF-FFFF00000000}"/>
  </bookViews>
  <sheets>
    <sheet name="INVESTIGADOR SENIOR" sheetId="7" r:id="rId1"/>
    <sheet name="INVESTIGADOR JUNIOR" sheetId="13" r:id="rId2"/>
    <sheet name="INVEST. EN FORMACIÓN-PRÁCTICAS" sheetId="14" state="hidden" r:id="rId3"/>
    <sheet name="TITULADOS SUPERIORES I" sheetId="12" r:id="rId4"/>
    <sheet name="TITULADOS SUPERIORES II" sheetId="11" r:id="rId5"/>
    <sheet name="TITULADOS DE GRADO MEDIO" sheetId="5" r:id="rId6"/>
    <sheet name="ESPECIALISTAS TECNICOS" sheetId="4" r:id="rId7"/>
    <sheet name="AUXILIARES" sheetId="2" r:id="rId8"/>
    <sheet name="PARAMETROS" sheetId="3" state="hidden" r:id="rId9"/>
  </sheets>
  <definedNames>
    <definedName name="_xlnm.Print_Area" localSheetId="7">AUXILIARES!$A$2:$D$39</definedName>
    <definedName name="_xlnm.Print_Area" localSheetId="2">'INVEST. EN FORMACIÓN-PRÁCTICAS'!$A$2:$C$10</definedName>
    <definedName name="_xlnm.Print_Area" localSheetId="1">'INVESTIGADOR JUNIOR'!$A$2:$G$40</definedName>
    <definedName name="_xlnm.Print_Area" localSheetId="0">'INVESTIGADOR SENIOR'!$A$2:$G$40</definedName>
    <definedName name="_xlnm.Print_Area" localSheetId="5">'TITULADOS DE GRADO MEDIO'!$A$2:$G$40</definedName>
    <definedName name="_xlnm.Print_Area" localSheetId="3">'TITULADOS SUPERIORES I'!$A$2:$G$40</definedName>
    <definedName name="_xlnm.Print_Area" localSheetId="4">'TITULADOS SUPERIORES II'!$A$2:$G$40</definedName>
    <definedName name="RETRIBUCION">#REF!</definedName>
    <definedName name="_xlnm.Print_Titles" localSheetId="7">AUXILIARES!$2:$2</definedName>
    <definedName name="_xlnm.Print_Titles" localSheetId="2">'INVEST. EN FORMACIÓN-PRÁCTICAS'!$2:$3</definedName>
    <definedName name="_xlnm.Print_Titles" localSheetId="1">'INVESTIGADOR JUNIOR'!$2:$3</definedName>
    <definedName name="_xlnm.Print_Titles" localSheetId="0">'INVESTIGADOR SENIOR'!$2:$3</definedName>
    <definedName name="_xlnm.Print_Titles" localSheetId="5">'TITULADOS DE GRADO MEDIO'!$2:$3</definedName>
    <definedName name="_xlnm.Print_Titles" localSheetId="3">'TITULADOS SUPERIORES I'!$2:$3</definedName>
    <definedName name="_xlnm.Print_Titles" localSheetId="4">'TITULADOS SUPERIORES II'!$2:$3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3" l="1"/>
  <c r="F20" i="3"/>
  <c r="E63" i="3" l="1"/>
  <c r="E64" i="3"/>
  <c r="E62" i="3"/>
  <c r="E59" i="3"/>
  <c r="E58" i="3"/>
  <c r="D63" i="3"/>
  <c r="D64" i="3"/>
  <c r="D62" i="3"/>
  <c r="D59" i="3"/>
  <c r="D58" i="3"/>
  <c r="G14" i="4" l="1"/>
  <c r="F17" i="3" l="1"/>
  <c r="F21" i="3" s="1"/>
  <c r="K18" i="11" l="1"/>
  <c r="B8" i="14" l="1"/>
  <c r="C8" i="14" s="1"/>
  <c r="B7" i="14"/>
  <c r="D7" i="14" s="1"/>
  <c r="B6" i="14"/>
  <c r="D6" i="14" s="1"/>
  <c r="B5" i="14"/>
  <c r="D5" i="14" s="1"/>
  <c r="D4" i="14"/>
  <c r="C4" i="14"/>
  <c r="C5" i="14" l="1"/>
  <c r="C6" i="14"/>
  <c r="C7" i="14"/>
  <c r="D8" i="14"/>
  <c r="B10" i="14"/>
  <c r="D10" i="14" s="1"/>
  <c r="F32" i="2"/>
  <c r="F32" i="4"/>
  <c r="I32" i="5"/>
  <c r="I32" i="11"/>
  <c r="I32" i="12"/>
  <c r="I32" i="13"/>
  <c r="I32" i="7"/>
  <c r="C10" i="14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B14" i="3" l="1"/>
  <c r="B15" i="3" s="1"/>
  <c r="G22" i="14" l="1"/>
  <c r="I22" i="14" s="1"/>
  <c r="G11" i="14"/>
  <c r="G20" i="14"/>
  <c r="H24" i="14"/>
  <c r="H13" i="14" l="1"/>
  <c r="I11" i="14"/>
  <c r="G9" i="14"/>
  <c r="I9" i="14" s="1"/>
  <c r="I13" i="14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" i="2"/>
  <c r="H18" i="4" l="1"/>
  <c r="H18" i="2"/>
  <c r="G32" i="2"/>
  <c r="I32" i="2" s="1"/>
  <c r="I34" i="2" s="1"/>
  <c r="G16" i="2"/>
  <c r="I16" i="2" s="1"/>
  <c r="G14" i="2"/>
  <c r="I14" i="2" s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" i="4"/>
  <c r="G32" i="4"/>
  <c r="I32" i="4" s="1"/>
  <c r="I34" i="4" s="1"/>
  <c r="I14" i="4"/>
  <c r="G16" i="4"/>
  <c r="I16" i="4" s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5" i="5"/>
  <c r="J32" i="5"/>
  <c r="L32" i="5" s="1"/>
  <c r="L34" i="5" s="1"/>
  <c r="K18" i="5"/>
  <c r="J16" i="5"/>
  <c r="L16" i="5" s="1"/>
  <c r="J14" i="5"/>
  <c r="L14" i="5" s="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5" i="11"/>
  <c r="J32" i="11"/>
  <c r="L32" i="11" s="1"/>
  <c r="L34" i="11" s="1"/>
  <c r="J16" i="11"/>
  <c r="L16" i="11" s="1"/>
  <c r="J14" i="11"/>
  <c r="L14" i="11" s="1"/>
  <c r="J32" i="12"/>
  <c r="L32" i="12" s="1"/>
  <c r="L34" i="12" s="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5" i="12"/>
  <c r="K18" i="12"/>
  <c r="J16" i="12"/>
  <c r="L16" i="12" s="1"/>
  <c r="J14" i="12"/>
  <c r="L14" i="12" s="1"/>
  <c r="L18" i="12" l="1"/>
  <c r="L18" i="11"/>
  <c r="I18" i="2"/>
  <c r="I18" i="4"/>
  <c r="L18" i="5"/>
  <c r="J32" i="13"/>
  <c r="L32" i="13" s="1"/>
  <c r="L34" i="13" s="1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5" i="13"/>
  <c r="K18" i="13"/>
  <c r="J16" i="13"/>
  <c r="L16" i="13" s="1"/>
  <c r="J14" i="13"/>
  <c r="L14" i="13" s="1"/>
  <c r="L18" i="13" l="1"/>
  <c r="J32" i="7" l="1"/>
  <c r="L32" i="7" s="1"/>
  <c r="L34" i="7" l="1"/>
  <c r="K18" i="7" l="1"/>
  <c r="J16" i="7" l="1"/>
  <c r="L16" i="7" s="1"/>
  <c r="J14" i="7"/>
  <c r="L14" i="7" s="1"/>
  <c r="L18" i="7" l="1"/>
  <c r="C49" i="3" l="1"/>
  <c r="C50" i="3" s="1"/>
  <c r="B49" i="3"/>
  <c r="C42" i="3"/>
  <c r="B42" i="3"/>
  <c r="C35" i="3"/>
  <c r="C36" i="3" s="1"/>
  <c r="B35" i="3"/>
  <c r="C21" i="3"/>
  <c r="C22" i="3" s="1"/>
  <c r="B21" i="3"/>
  <c r="B22" i="3" s="1"/>
  <c r="C14" i="3"/>
  <c r="C15" i="3" s="1"/>
  <c r="C28" i="3"/>
  <c r="C30" i="3" s="1"/>
  <c r="C4" i="3" s="1"/>
  <c r="B28" i="3"/>
  <c r="B30" i="3" s="1"/>
  <c r="B4" i="3" s="1"/>
  <c r="F29" i="3"/>
  <c r="C51" i="3" l="1"/>
  <c r="F33" i="3"/>
  <c r="C23" i="3"/>
  <c r="C24" i="3" s="1"/>
  <c r="B43" i="3"/>
  <c r="B44" i="3" s="1"/>
  <c r="C37" i="3"/>
  <c r="C43" i="3"/>
  <c r="C44" i="3" s="1"/>
  <c r="B36" i="3"/>
  <c r="B37" i="3" s="1"/>
  <c r="B50" i="3"/>
  <c r="B51" i="3" s="1"/>
  <c r="B16" i="3"/>
  <c r="C16" i="3"/>
  <c r="B23" i="3"/>
  <c r="B24" i="3" s="1"/>
  <c r="B8" i="3" l="1"/>
  <c r="B26" i="4" s="1"/>
  <c r="D26" i="4" s="1"/>
  <c r="F34" i="3"/>
  <c r="B9" i="3"/>
  <c r="B3" i="2" s="1"/>
  <c r="D3" i="2" s="1"/>
  <c r="F22" i="3"/>
  <c r="C7" i="3"/>
  <c r="F4" i="5" s="1"/>
  <c r="F20" i="5" s="1"/>
  <c r="G20" i="5" s="1"/>
  <c r="C52" i="3"/>
  <c r="C6" i="3"/>
  <c r="F4" i="11" s="1"/>
  <c r="G4" i="11" s="1"/>
  <c r="C45" i="3"/>
  <c r="C5" i="3"/>
  <c r="F4" i="12" s="1"/>
  <c r="F32" i="12" s="1"/>
  <c r="G32" i="12" s="1"/>
  <c r="C38" i="3"/>
  <c r="B7" i="3"/>
  <c r="B4" i="5" s="1"/>
  <c r="B14" i="5" s="1"/>
  <c r="D14" i="5" s="1"/>
  <c r="B52" i="3"/>
  <c r="B6" i="3"/>
  <c r="B4" i="11" s="1"/>
  <c r="B38" i="11" s="1"/>
  <c r="D38" i="11" s="1"/>
  <c r="B45" i="3"/>
  <c r="B5" i="3"/>
  <c r="B4" i="12" s="1"/>
  <c r="B39" i="12" s="1"/>
  <c r="D39" i="12" s="1"/>
  <c r="B38" i="3"/>
  <c r="C2" i="3"/>
  <c r="F4" i="7" s="1"/>
  <c r="C17" i="3"/>
  <c r="B2" i="3"/>
  <c r="B4" i="7" s="1"/>
  <c r="B21" i="7" s="1"/>
  <c r="D21" i="7" s="1"/>
  <c r="B17" i="3"/>
  <c r="F20" i="12"/>
  <c r="G20" i="12" s="1"/>
  <c r="F16" i="12"/>
  <c r="G16" i="12" s="1"/>
  <c r="F28" i="12"/>
  <c r="G28" i="12" s="1"/>
  <c r="F24" i="12"/>
  <c r="G24" i="12" s="1"/>
  <c r="B3" i="4"/>
  <c r="D3" i="4" s="1"/>
  <c r="B33" i="4"/>
  <c r="D33" i="4" s="1"/>
  <c r="B25" i="4"/>
  <c r="D25" i="4" s="1"/>
  <c r="B18" i="4"/>
  <c r="D18" i="4" s="1"/>
  <c r="B23" i="4"/>
  <c r="D23" i="4" s="1"/>
  <c r="B17" i="4"/>
  <c r="D17" i="4" s="1"/>
  <c r="B38" i="4"/>
  <c r="D38" i="4" s="1"/>
  <c r="B27" i="4"/>
  <c r="D27" i="4" s="1"/>
  <c r="B21" i="4"/>
  <c r="D21" i="4" s="1"/>
  <c r="B32" i="4"/>
  <c r="D32" i="4" s="1"/>
  <c r="B31" i="4"/>
  <c r="D31" i="4" s="1"/>
  <c r="B20" i="4"/>
  <c r="D20" i="4" s="1"/>
  <c r="B30" i="4"/>
  <c r="D30" i="4" s="1"/>
  <c r="B19" i="4"/>
  <c r="D19" i="4" s="1"/>
  <c r="F4" i="13"/>
  <c r="G4" i="13" s="1"/>
  <c r="C3" i="3"/>
  <c r="B4" i="13"/>
  <c r="B3" i="3"/>
  <c r="F40" i="12"/>
  <c r="G40" i="12" s="1"/>
  <c r="F39" i="12"/>
  <c r="G39" i="12" s="1"/>
  <c r="F35" i="12"/>
  <c r="G35" i="12" s="1"/>
  <c r="F31" i="12"/>
  <c r="G31" i="12" s="1"/>
  <c r="F27" i="12"/>
  <c r="G27" i="12" s="1"/>
  <c r="F23" i="12"/>
  <c r="G23" i="12" s="1"/>
  <c r="F19" i="12"/>
  <c r="G19" i="12" s="1"/>
  <c r="F15" i="12"/>
  <c r="G15" i="12" s="1"/>
  <c r="F11" i="12"/>
  <c r="G11" i="12" s="1"/>
  <c r="F7" i="12"/>
  <c r="G7" i="12" s="1"/>
  <c r="F37" i="12"/>
  <c r="G37" i="12" s="1"/>
  <c r="F33" i="12"/>
  <c r="G33" i="12" s="1"/>
  <c r="F29" i="12"/>
  <c r="G29" i="12" s="1"/>
  <c r="F25" i="12"/>
  <c r="G25" i="12" s="1"/>
  <c r="F21" i="12"/>
  <c r="G21" i="12" s="1"/>
  <c r="F17" i="12"/>
  <c r="G17" i="12" s="1"/>
  <c r="F13" i="12"/>
  <c r="G13" i="12" s="1"/>
  <c r="F9" i="12"/>
  <c r="G9" i="12" s="1"/>
  <c r="F5" i="12"/>
  <c r="G5" i="12" s="1"/>
  <c r="F30" i="12"/>
  <c r="G30" i="12" s="1"/>
  <c r="F14" i="12"/>
  <c r="G14" i="12" s="1"/>
  <c r="F18" i="12"/>
  <c r="G18" i="12" s="1"/>
  <c r="F26" i="12"/>
  <c r="G26" i="12" s="1"/>
  <c r="F10" i="12"/>
  <c r="G10" i="12" s="1"/>
  <c r="F38" i="12"/>
  <c r="G38" i="12" s="1"/>
  <c r="F22" i="12"/>
  <c r="G22" i="12" s="1"/>
  <c r="F6" i="12"/>
  <c r="G6" i="12" s="1"/>
  <c r="F34" i="12"/>
  <c r="G34" i="12" s="1"/>
  <c r="F12" i="12" l="1"/>
  <c r="G12" i="12" s="1"/>
  <c r="F36" i="12"/>
  <c r="G36" i="12" s="1"/>
  <c r="F8" i="12"/>
  <c r="G8" i="12" s="1"/>
  <c r="B29" i="4"/>
  <c r="D29" i="4" s="1"/>
  <c r="B22" i="4"/>
  <c r="D22" i="4" s="1"/>
  <c r="B34" i="4"/>
  <c r="D34" i="4" s="1"/>
  <c r="B39" i="4"/>
  <c r="D39" i="4" s="1"/>
  <c r="B36" i="4"/>
  <c r="D36" i="4" s="1"/>
  <c r="B24" i="4"/>
  <c r="D24" i="4" s="1"/>
  <c r="B37" i="4"/>
  <c r="D37" i="4" s="1"/>
  <c r="B28" i="4"/>
  <c r="D28" i="4" s="1"/>
  <c r="B29" i="5"/>
  <c r="D29" i="5" s="1"/>
  <c r="B5" i="5"/>
  <c r="D5" i="5" s="1"/>
  <c r="B6" i="5"/>
  <c r="D6" i="5" s="1"/>
  <c r="B33" i="5"/>
  <c r="D33" i="5" s="1"/>
  <c r="B20" i="5"/>
  <c r="D20" i="5" s="1"/>
  <c r="B8" i="5"/>
  <c r="D8" i="5" s="1"/>
  <c r="B18" i="5"/>
  <c r="D18" i="5" s="1"/>
  <c r="B12" i="5"/>
  <c r="D12" i="5" s="1"/>
  <c r="B17" i="5"/>
  <c r="D17" i="5" s="1"/>
  <c r="B36" i="5"/>
  <c r="D36" i="5" s="1"/>
  <c r="B24" i="5"/>
  <c r="D24" i="5" s="1"/>
  <c r="B22" i="5"/>
  <c r="D22" i="5" s="1"/>
  <c r="B13" i="5"/>
  <c r="D13" i="5" s="1"/>
  <c r="B25" i="5"/>
  <c r="D25" i="5" s="1"/>
  <c r="B30" i="5"/>
  <c r="D30" i="5" s="1"/>
  <c r="B40" i="5"/>
  <c r="D40" i="5" s="1"/>
  <c r="B7" i="5"/>
  <c r="D7" i="5" s="1"/>
  <c r="B37" i="5"/>
  <c r="D37" i="5" s="1"/>
  <c r="B23" i="5"/>
  <c r="D23" i="5" s="1"/>
  <c r="B21" i="5"/>
  <c r="D21" i="5" s="1"/>
  <c r="B19" i="5"/>
  <c r="D19" i="5" s="1"/>
  <c r="B9" i="5"/>
  <c r="D9" i="5" s="1"/>
  <c r="B34" i="5"/>
  <c r="D34" i="5" s="1"/>
  <c r="B26" i="5"/>
  <c r="D26" i="5" s="1"/>
  <c r="B39" i="5"/>
  <c r="D39" i="5" s="1"/>
  <c r="B16" i="5"/>
  <c r="D16" i="5" s="1"/>
  <c r="B11" i="5"/>
  <c r="D11" i="5" s="1"/>
  <c r="B15" i="5"/>
  <c r="D15" i="5" s="1"/>
  <c r="B10" i="5"/>
  <c r="D10" i="5" s="1"/>
  <c r="B35" i="5"/>
  <c r="D35" i="5" s="1"/>
  <c r="B28" i="5"/>
  <c r="D28" i="5" s="1"/>
  <c r="B38" i="5"/>
  <c r="D38" i="5" s="1"/>
  <c r="B32" i="5"/>
  <c r="D32" i="5" s="1"/>
  <c r="B27" i="5"/>
  <c r="D27" i="5" s="1"/>
  <c r="B31" i="5"/>
  <c r="D31" i="5" s="1"/>
  <c r="B19" i="11"/>
  <c r="D19" i="11" s="1"/>
  <c r="B21" i="11"/>
  <c r="D21" i="11" s="1"/>
  <c r="B7" i="11"/>
  <c r="D7" i="11" s="1"/>
  <c r="B10" i="11"/>
  <c r="D10" i="11" s="1"/>
  <c r="B6" i="11"/>
  <c r="D6" i="11" s="1"/>
  <c r="B23" i="11"/>
  <c r="D23" i="11" s="1"/>
  <c r="B5" i="11"/>
  <c r="D5" i="11" s="1"/>
  <c r="B9" i="11"/>
  <c r="D9" i="11" s="1"/>
  <c r="B14" i="11"/>
  <c r="D14" i="11" s="1"/>
  <c r="B26" i="11"/>
  <c r="D26" i="11" s="1"/>
  <c r="B22" i="11"/>
  <c r="D22" i="11" s="1"/>
  <c r="B15" i="11"/>
  <c r="D15" i="11" s="1"/>
  <c r="B17" i="11"/>
  <c r="D17" i="11" s="1"/>
  <c r="B27" i="11"/>
  <c r="D27" i="11" s="1"/>
  <c r="B18" i="11"/>
  <c r="D18" i="11" s="1"/>
  <c r="B11" i="11"/>
  <c r="D11" i="11" s="1"/>
  <c r="B13" i="11"/>
  <c r="D13" i="11" s="1"/>
  <c r="B12" i="11"/>
  <c r="D12" i="11" s="1"/>
  <c r="B29" i="11"/>
  <c r="D29" i="11" s="1"/>
  <c r="B16" i="11"/>
  <c r="D16" i="11" s="1"/>
  <c r="B25" i="11"/>
  <c r="D25" i="11" s="1"/>
  <c r="B30" i="11"/>
  <c r="D30" i="11" s="1"/>
  <c r="B35" i="11"/>
  <c r="D35" i="11" s="1"/>
  <c r="B8" i="11"/>
  <c r="D8" i="11" s="1"/>
  <c r="B25" i="2"/>
  <c r="D25" i="2" s="1"/>
  <c r="B18" i="2"/>
  <c r="D18" i="2" s="1"/>
  <c r="B4" i="2"/>
  <c r="D4" i="2" s="1"/>
  <c r="B31" i="2"/>
  <c r="D31" i="2" s="1"/>
  <c r="B8" i="2"/>
  <c r="D8" i="2" s="1"/>
  <c r="B34" i="2"/>
  <c r="D34" i="2" s="1"/>
  <c r="B6" i="2"/>
  <c r="D6" i="2" s="1"/>
  <c r="B15" i="2"/>
  <c r="D15" i="2" s="1"/>
  <c r="B28" i="2"/>
  <c r="D28" i="2" s="1"/>
  <c r="B16" i="2"/>
  <c r="D16" i="2" s="1"/>
  <c r="B13" i="2"/>
  <c r="D13" i="2" s="1"/>
  <c r="B22" i="2"/>
  <c r="D22" i="2" s="1"/>
  <c r="B10" i="2"/>
  <c r="D10" i="2" s="1"/>
  <c r="B14" i="2"/>
  <c r="D14" i="2" s="1"/>
  <c r="B27" i="2"/>
  <c r="D27" i="2" s="1"/>
  <c r="B29" i="2"/>
  <c r="D29" i="2" s="1"/>
  <c r="B38" i="2"/>
  <c r="D38" i="2" s="1"/>
  <c r="B26" i="2"/>
  <c r="D26" i="2" s="1"/>
  <c r="B9" i="2"/>
  <c r="D9" i="2" s="1"/>
  <c r="B19" i="2"/>
  <c r="D19" i="2" s="1"/>
  <c r="B35" i="2"/>
  <c r="D35" i="2" s="1"/>
  <c r="B17" i="2"/>
  <c r="D17" i="2" s="1"/>
  <c r="B5" i="2"/>
  <c r="D5" i="2" s="1"/>
  <c r="B12" i="2"/>
  <c r="D12" i="2" s="1"/>
  <c r="B39" i="2"/>
  <c r="D39" i="2" s="1"/>
  <c r="B21" i="2"/>
  <c r="D21" i="2" s="1"/>
  <c r="B23" i="2"/>
  <c r="D23" i="2" s="1"/>
  <c r="B36" i="2"/>
  <c r="D36" i="2" s="1"/>
  <c r="B32" i="2"/>
  <c r="D32" i="2" s="1"/>
  <c r="B37" i="2"/>
  <c r="D37" i="2" s="1"/>
  <c r="B30" i="2"/>
  <c r="D30" i="2" s="1"/>
  <c r="B33" i="2"/>
  <c r="D33" i="2" s="1"/>
  <c r="B7" i="2"/>
  <c r="D7" i="2" s="1"/>
  <c r="B20" i="2"/>
  <c r="D20" i="2" s="1"/>
  <c r="B11" i="2"/>
  <c r="D11" i="2" s="1"/>
  <c r="B24" i="2"/>
  <c r="D24" i="2" s="1"/>
  <c r="F39" i="5"/>
  <c r="G39" i="5" s="1"/>
  <c r="F28" i="5"/>
  <c r="G28" i="5" s="1"/>
  <c r="F35" i="5"/>
  <c r="G35" i="5" s="1"/>
  <c r="F31" i="5"/>
  <c r="G31" i="5" s="1"/>
  <c r="F22" i="5"/>
  <c r="G22" i="5" s="1"/>
  <c r="F37" i="5"/>
  <c r="G37" i="5" s="1"/>
  <c r="F10" i="5"/>
  <c r="G10" i="5" s="1"/>
  <c r="G4" i="5"/>
  <c r="B35" i="4"/>
  <c r="D35" i="4" s="1"/>
  <c r="B10" i="4"/>
  <c r="D10" i="4" s="1"/>
  <c r="B6" i="4"/>
  <c r="D6" i="4" s="1"/>
  <c r="B7" i="4"/>
  <c r="D7" i="4" s="1"/>
  <c r="B11" i="4"/>
  <c r="D11" i="4" s="1"/>
  <c r="B12" i="4"/>
  <c r="D12" i="4" s="1"/>
  <c r="B13" i="4"/>
  <c r="D13" i="4" s="1"/>
  <c r="B14" i="4"/>
  <c r="D14" i="4" s="1"/>
  <c r="B15" i="4"/>
  <c r="D15" i="4" s="1"/>
  <c r="B16" i="4"/>
  <c r="D16" i="4" s="1"/>
  <c r="B5" i="4"/>
  <c r="D5" i="4" s="1"/>
  <c r="B8" i="4"/>
  <c r="D8" i="4" s="1"/>
  <c r="B4" i="4"/>
  <c r="D4" i="4" s="1"/>
  <c r="B9" i="4"/>
  <c r="D9" i="4" s="1"/>
  <c r="F32" i="5"/>
  <c r="G32" i="5" s="1"/>
  <c r="F9" i="5"/>
  <c r="G9" i="5" s="1"/>
  <c r="F21" i="5"/>
  <c r="G21" i="5" s="1"/>
  <c r="F24" i="5"/>
  <c r="G24" i="5" s="1"/>
  <c r="F40" i="5"/>
  <c r="G40" i="5" s="1"/>
  <c r="F19" i="5"/>
  <c r="G19" i="5" s="1"/>
  <c r="B31" i="11"/>
  <c r="D31" i="11" s="1"/>
  <c r="B34" i="11"/>
  <c r="D34" i="11" s="1"/>
  <c r="B28" i="11"/>
  <c r="D28" i="11" s="1"/>
  <c r="B40" i="11"/>
  <c r="D40" i="11" s="1"/>
  <c r="B20" i="11"/>
  <c r="D20" i="11" s="1"/>
  <c r="B33" i="11"/>
  <c r="D33" i="11" s="1"/>
  <c r="F31" i="11"/>
  <c r="G31" i="11" s="1"/>
  <c r="F40" i="11"/>
  <c r="G40" i="11" s="1"/>
  <c r="F21" i="11"/>
  <c r="G21" i="11" s="1"/>
  <c r="F8" i="11"/>
  <c r="G8" i="11" s="1"/>
  <c r="F18" i="11"/>
  <c r="G18" i="11" s="1"/>
  <c r="F7" i="11"/>
  <c r="G7" i="11" s="1"/>
  <c r="F13" i="11"/>
  <c r="G13" i="11" s="1"/>
  <c r="F28" i="11"/>
  <c r="G28" i="11" s="1"/>
  <c r="F25" i="11"/>
  <c r="G25" i="11" s="1"/>
  <c r="F6" i="11"/>
  <c r="G6" i="11" s="1"/>
  <c r="F29" i="11"/>
  <c r="G29" i="11" s="1"/>
  <c r="F36" i="11"/>
  <c r="G36" i="11" s="1"/>
  <c r="F24" i="11"/>
  <c r="G24" i="11" s="1"/>
  <c r="F35" i="11"/>
  <c r="G35" i="11" s="1"/>
  <c r="F14" i="11"/>
  <c r="G14" i="11" s="1"/>
  <c r="F30" i="11"/>
  <c r="G30" i="11" s="1"/>
  <c r="F39" i="11"/>
  <c r="G39" i="11" s="1"/>
  <c r="F20" i="11"/>
  <c r="G20" i="11" s="1"/>
  <c r="F37" i="11"/>
  <c r="G37" i="11" s="1"/>
  <c r="F15" i="11"/>
  <c r="G15" i="11" s="1"/>
  <c r="F32" i="11"/>
  <c r="G32" i="11" s="1"/>
  <c r="F34" i="11"/>
  <c r="G34" i="11" s="1"/>
  <c r="F12" i="11"/>
  <c r="G12" i="11" s="1"/>
  <c r="F19" i="11"/>
  <c r="G19" i="11" s="1"/>
  <c r="F22" i="11"/>
  <c r="G22" i="11" s="1"/>
  <c r="F23" i="11"/>
  <c r="G23" i="11" s="1"/>
  <c r="F27" i="11"/>
  <c r="G27" i="11" s="1"/>
  <c r="F17" i="11"/>
  <c r="G17" i="11" s="1"/>
  <c r="F11" i="11"/>
  <c r="G11" i="11" s="1"/>
  <c r="F33" i="11"/>
  <c r="G33" i="11" s="1"/>
  <c r="F38" i="11"/>
  <c r="G38" i="11" s="1"/>
  <c r="F9" i="11"/>
  <c r="G9" i="11" s="1"/>
  <c r="F26" i="11"/>
  <c r="G26" i="11" s="1"/>
  <c r="F5" i="11"/>
  <c r="G5" i="11" s="1"/>
  <c r="F16" i="11"/>
  <c r="G16" i="11" s="1"/>
  <c r="F10" i="11"/>
  <c r="G10" i="11" s="1"/>
  <c r="B39" i="11"/>
  <c r="D39" i="11" s="1"/>
  <c r="B32" i="11"/>
  <c r="D32" i="11" s="1"/>
  <c r="B24" i="11"/>
  <c r="D24" i="11" s="1"/>
  <c r="B37" i="11"/>
  <c r="D37" i="11" s="1"/>
  <c r="B36" i="11"/>
  <c r="D36" i="11" s="1"/>
  <c r="B24" i="12"/>
  <c r="D24" i="12" s="1"/>
  <c r="B26" i="12"/>
  <c r="D26" i="12" s="1"/>
  <c r="B29" i="12"/>
  <c r="D29" i="12" s="1"/>
  <c r="B15" i="12"/>
  <c r="D15" i="12" s="1"/>
  <c r="B13" i="12"/>
  <c r="D13" i="12" s="1"/>
  <c r="B38" i="12"/>
  <c r="D38" i="12" s="1"/>
  <c r="B31" i="12"/>
  <c r="D31" i="12" s="1"/>
  <c r="B27" i="12"/>
  <c r="D27" i="12" s="1"/>
  <c r="B28" i="12"/>
  <c r="D28" i="12" s="1"/>
  <c r="B18" i="12"/>
  <c r="D18" i="12" s="1"/>
  <c r="B5" i="12"/>
  <c r="D5" i="12" s="1"/>
  <c r="B30" i="12"/>
  <c r="D30" i="12" s="1"/>
  <c r="B20" i="12"/>
  <c r="D20" i="12" s="1"/>
  <c r="B22" i="12"/>
  <c r="D22" i="12" s="1"/>
  <c r="B11" i="12"/>
  <c r="D11" i="12" s="1"/>
  <c r="B25" i="12"/>
  <c r="D25" i="12" s="1"/>
  <c r="B17" i="12"/>
  <c r="D17" i="12" s="1"/>
  <c r="B37" i="12"/>
  <c r="D37" i="12" s="1"/>
  <c r="B35" i="12"/>
  <c r="D35" i="12" s="1"/>
  <c r="B12" i="12"/>
  <c r="D12" i="12" s="1"/>
  <c r="B32" i="12"/>
  <c r="D32" i="12" s="1"/>
  <c r="B40" i="12"/>
  <c r="D40" i="12" s="1"/>
  <c r="B14" i="12"/>
  <c r="D14" i="12" s="1"/>
  <c r="B9" i="12"/>
  <c r="D9" i="12" s="1"/>
  <c r="B7" i="12"/>
  <c r="D7" i="12" s="1"/>
  <c r="B23" i="12"/>
  <c r="D23" i="12" s="1"/>
  <c r="B19" i="12"/>
  <c r="D19" i="12" s="1"/>
  <c r="B6" i="12"/>
  <c r="D6" i="12" s="1"/>
  <c r="B8" i="12"/>
  <c r="D8" i="12" s="1"/>
  <c r="B21" i="12"/>
  <c r="D21" i="12" s="1"/>
  <c r="B16" i="12"/>
  <c r="D16" i="12" s="1"/>
  <c r="B33" i="12"/>
  <c r="D33" i="12" s="1"/>
  <c r="B34" i="12"/>
  <c r="D34" i="12" s="1"/>
  <c r="B10" i="12"/>
  <c r="D10" i="12" s="1"/>
  <c r="B36" i="12"/>
  <c r="D36" i="12" s="1"/>
  <c r="G4" i="12"/>
  <c r="F14" i="7"/>
  <c r="G14" i="7" s="1"/>
  <c r="F16" i="7"/>
  <c r="G16" i="7" s="1"/>
  <c r="F34" i="5"/>
  <c r="G34" i="5" s="1"/>
  <c r="F13" i="5"/>
  <c r="G13" i="5" s="1"/>
  <c r="F17" i="5"/>
  <c r="G17" i="5" s="1"/>
  <c r="F15" i="5"/>
  <c r="G15" i="5" s="1"/>
  <c r="F18" i="5"/>
  <c r="G18" i="5" s="1"/>
  <c r="F29" i="5"/>
  <c r="G29" i="5" s="1"/>
  <c r="F16" i="5"/>
  <c r="G16" i="5" s="1"/>
  <c r="F30" i="5"/>
  <c r="G30" i="5" s="1"/>
  <c r="F14" i="5"/>
  <c r="G14" i="5" s="1"/>
  <c r="F36" i="5"/>
  <c r="G36" i="5" s="1"/>
  <c r="F7" i="5"/>
  <c r="G7" i="5" s="1"/>
  <c r="F27" i="5"/>
  <c r="G27" i="5" s="1"/>
  <c r="F38" i="5"/>
  <c r="G38" i="5" s="1"/>
  <c r="F25" i="5"/>
  <c r="G25" i="5" s="1"/>
  <c r="F6" i="5"/>
  <c r="G6" i="5" s="1"/>
  <c r="F8" i="5"/>
  <c r="G8" i="5" s="1"/>
  <c r="F26" i="5"/>
  <c r="G26" i="5" s="1"/>
  <c r="F23" i="5"/>
  <c r="G23" i="5" s="1"/>
  <c r="F11" i="5"/>
  <c r="G11" i="5" s="1"/>
  <c r="F33" i="5"/>
  <c r="G33" i="5" s="1"/>
  <c r="F5" i="5"/>
  <c r="G5" i="5" s="1"/>
  <c r="F12" i="5"/>
  <c r="G12" i="5" s="1"/>
  <c r="B18" i="7"/>
  <c r="D18" i="7" s="1"/>
  <c r="B23" i="7"/>
  <c r="D23" i="7" s="1"/>
  <c r="B7" i="7"/>
  <c r="D7" i="7" s="1"/>
  <c r="B10" i="7"/>
  <c r="D10" i="7" s="1"/>
  <c r="B36" i="7"/>
  <c r="D36" i="7" s="1"/>
  <c r="B38" i="7"/>
  <c r="D38" i="7" s="1"/>
  <c r="B6" i="7"/>
  <c r="D6" i="7" s="1"/>
  <c r="B19" i="7"/>
  <c r="D19" i="7" s="1"/>
  <c r="B13" i="7"/>
  <c r="D13" i="7" s="1"/>
  <c r="B11" i="7"/>
  <c r="D11" i="7" s="1"/>
  <c r="B28" i="7"/>
  <c r="D28" i="7" s="1"/>
  <c r="B34" i="7"/>
  <c r="D34" i="7" s="1"/>
  <c r="B40" i="7"/>
  <c r="D40" i="7" s="1"/>
  <c r="B15" i="7"/>
  <c r="D15" i="7" s="1"/>
  <c r="B9" i="7"/>
  <c r="D9" i="7" s="1"/>
  <c r="B8" i="7"/>
  <c r="D8" i="7" s="1"/>
  <c r="B35" i="7"/>
  <c r="D35" i="7" s="1"/>
  <c r="B27" i="7"/>
  <c r="D27" i="7" s="1"/>
  <c r="B20" i="7"/>
  <c r="D20" i="7" s="1"/>
  <c r="B30" i="7"/>
  <c r="D30" i="7" s="1"/>
  <c r="B32" i="7"/>
  <c r="D32" i="7" s="1"/>
  <c r="B37" i="7"/>
  <c r="D37" i="7" s="1"/>
  <c r="B5" i="7"/>
  <c r="D5" i="7" s="1"/>
  <c r="B31" i="7"/>
  <c r="D31" i="7" s="1"/>
  <c r="B17" i="7"/>
  <c r="D17" i="7" s="1"/>
  <c r="B12" i="7"/>
  <c r="D12" i="7" s="1"/>
  <c r="B26" i="7"/>
  <c r="D26" i="7" s="1"/>
  <c r="B24" i="7"/>
  <c r="D24" i="7" s="1"/>
  <c r="B33" i="7"/>
  <c r="D33" i="7" s="1"/>
  <c r="B14" i="7"/>
  <c r="D14" i="7" s="1"/>
  <c r="B39" i="7"/>
  <c r="D39" i="7" s="1"/>
  <c r="B22" i="7"/>
  <c r="D22" i="7" s="1"/>
  <c r="B16" i="7"/>
  <c r="D16" i="7" s="1"/>
  <c r="B29" i="7"/>
  <c r="D29" i="7" s="1"/>
  <c r="B25" i="7"/>
  <c r="D25" i="7" s="1"/>
  <c r="F12" i="7"/>
  <c r="G12" i="7" s="1"/>
  <c r="F39" i="7"/>
  <c r="G39" i="7" s="1"/>
  <c r="F28" i="7"/>
  <c r="G28" i="7" s="1"/>
  <c r="F20" i="7"/>
  <c r="G20" i="7" s="1"/>
  <c r="F15" i="7"/>
  <c r="G15" i="7" s="1"/>
  <c r="F31" i="7"/>
  <c r="G31" i="7" s="1"/>
  <c r="F7" i="7"/>
  <c r="G7" i="7" s="1"/>
  <c r="F11" i="7"/>
  <c r="G11" i="7" s="1"/>
  <c r="F36" i="7"/>
  <c r="G36" i="7" s="1"/>
  <c r="F5" i="7"/>
  <c r="G5" i="7" s="1"/>
  <c r="F35" i="7"/>
  <c r="G35" i="7" s="1"/>
  <c r="F32" i="7"/>
  <c r="G32" i="7" s="1"/>
  <c r="F24" i="7"/>
  <c r="G24" i="7" s="1"/>
  <c r="F25" i="7"/>
  <c r="G25" i="7" s="1"/>
  <c r="F30" i="7"/>
  <c r="G30" i="7" s="1"/>
  <c r="F19" i="7"/>
  <c r="G19" i="7" s="1"/>
  <c r="F8" i="7"/>
  <c r="G8" i="7" s="1"/>
  <c r="F23" i="7"/>
  <c r="G23" i="7" s="1"/>
  <c r="F27" i="7"/>
  <c r="G27" i="7" s="1"/>
  <c r="F40" i="7"/>
  <c r="G40" i="7" s="1"/>
  <c r="G4" i="7"/>
  <c r="F29" i="7"/>
  <c r="G29" i="7" s="1"/>
  <c r="F6" i="7"/>
  <c r="G6" i="7" s="1"/>
  <c r="F26" i="7"/>
  <c r="G26" i="7" s="1"/>
  <c r="F33" i="7"/>
  <c r="G33" i="7" s="1"/>
  <c r="F22" i="7"/>
  <c r="G22" i="7" s="1"/>
  <c r="F21" i="7"/>
  <c r="G21" i="7" s="1"/>
  <c r="F10" i="7"/>
  <c r="G10" i="7" s="1"/>
  <c r="F34" i="7"/>
  <c r="G34" i="7" s="1"/>
  <c r="F37" i="7"/>
  <c r="G37" i="7" s="1"/>
  <c r="F17" i="7"/>
  <c r="G17" i="7" s="1"/>
  <c r="F18" i="7"/>
  <c r="G18" i="7" s="1"/>
  <c r="F38" i="7"/>
  <c r="G38" i="7" s="1"/>
  <c r="F13" i="7"/>
  <c r="G13" i="7" s="1"/>
  <c r="F9" i="7"/>
  <c r="G9" i="7" s="1"/>
  <c r="B25" i="13"/>
  <c r="D25" i="13" s="1"/>
  <c r="B9" i="13"/>
  <c r="D9" i="13" s="1"/>
  <c r="B8" i="13"/>
  <c r="D8" i="13" s="1"/>
  <c r="B24" i="13"/>
  <c r="D24" i="13" s="1"/>
  <c r="B40" i="13"/>
  <c r="D40" i="13" s="1"/>
  <c r="B23" i="13"/>
  <c r="D23" i="13" s="1"/>
  <c r="B39" i="13"/>
  <c r="D39" i="13" s="1"/>
  <c r="B18" i="13"/>
  <c r="D18" i="13" s="1"/>
  <c r="B34" i="13"/>
  <c r="D34" i="13" s="1"/>
  <c r="B29" i="13"/>
  <c r="D29" i="13" s="1"/>
  <c r="B6" i="13"/>
  <c r="D6" i="13" s="1"/>
  <c r="B36" i="13"/>
  <c r="D36" i="13" s="1"/>
  <c r="B14" i="13"/>
  <c r="D14" i="13" s="1"/>
  <c r="B37" i="13"/>
  <c r="D37" i="13" s="1"/>
  <c r="B21" i="13"/>
  <c r="D21" i="13" s="1"/>
  <c r="B7" i="13"/>
  <c r="D7" i="13" s="1"/>
  <c r="B12" i="13"/>
  <c r="D12" i="13" s="1"/>
  <c r="B28" i="13"/>
  <c r="D28" i="13" s="1"/>
  <c r="B11" i="13"/>
  <c r="D11" i="13" s="1"/>
  <c r="B27" i="13"/>
  <c r="D27" i="13" s="1"/>
  <c r="B22" i="13"/>
  <c r="D22" i="13" s="1"/>
  <c r="B38" i="13"/>
  <c r="D38" i="13" s="1"/>
  <c r="B13" i="13"/>
  <c r="D13" i="13" s="1"/>
  <c r="B20" i="13"/>
  <c r="D20" i="13" s="1"/>
  <c r="B19" i="13"/>
  <c r="D19" i="13" s="1"/>
  <c r="B30" i="13"/>
  <c r="D30" i="13" s="1"/>
  <c r="B33" i="13"/>
  <c r="D33" i="13" s="1"/>
  <c r="B17" i="13"/>
  <c r="D17" i="13" s="1"/>
  <c r="B5" i="13"/>
  <c r="D5" i="13" s="1"/>
  <c r="B16" i="13"/>
  <c r="D16" i="13" s="1"/>
  <c r="B32" i="13"/>
  <c r="D32" i="13" s="1"/>
  <c r="B15" i="13"/>
  <c r="D15" i="13" s="1"/>
  <c r="B31" i="13"/>
  <c r="D31" i="13" s="1"/>
  <c r="B10" i="13"/>
  <c r="D10" i="13" s="1"/>
  <c r="B26" i="13"/>
  <c r="D26" i="13" s="1"/>
  <c r="B35" i="13"/>
  <c r="D35" i="13" s="1"/>
  <c r="F39" i="13"/>
  <c r="G39" i="13" s="1"/>
  <c r="F23" i="13"/>
  <c r="G23" i="13" s="1"/>
  <c r="F7" i="13"/>
  <c r="G7" i="13" s="1"/>
  <c r="F35" i="13"/>
  <c r="G35" i="13" s="1"/>
  <c r="F19" i="13"/>
  <c r="G19" i="13" s="1"/>
  <c r="F5" i="13"/>
  <c r="G5" i="13" s="1"/>
  <c r="F31" i="13"/>
  <c r="G31" i="13" s="1"/>
  <c r="F15" i="13"/>
  <c r="G15" i="13" s="1"/>
  <c r="F6" i="13"/>
  <c r="G6" i="13" s="1"/>
  <c r="F27" i="13"/>
  <c r="G27" i="13" s="1"/>
  <c r="F11" i="13"/>
  <c r="G11" i="13" s="1"/>
  <c r="F26" i="13"/>
  <c r="G26" i="13" s="1"/>
  <c r="F10" i="13"/>
  <c r="G10" i="13" s="1"/>
  <c r="F13" i="13"/>
  <c r="G13" i="13" s="1"/>
  <c r="F21" i="13"/>
  <c r="G21" i="13" s="1"/>
  <c r="F29" i="13"/>
  <c r="G29" i="13" s="1"/>
  <c r="F37" i="13"/>
  <c r="G37" i="13" s="1"/>
  <c r="F20" i="13"/>
  <c r="G20" i="13" s="1"/>
  <c r="F38" i="13"/>
  <c r="G38" i="13" s="1"/>
  <c r="F22" i="13"/>
  <c r="G22" i="13" s="1"/>
  <c r="F8" i="13"/>
  <c r="G8" i="13" s="1"/>
  <c r="F16" i="13"/>
  <c r="G16" i="13" s="1"/>
  <c r="F24" i="13"/>
  <c r="G24" i="13" s="1"/>
  <c r="F32" i="13"/>
  <c r="G32" i="13" s="1"/>
  <c r="F40" i="13"/>
  <c r="G40" i="13" s="1"/>
  <c r="F12" i="13"/>
  <c r="G12" i="13" s="1"/>
  <c r="F36" i="13"/>
  <c r="G36" i="13" s="1"/>
  <c r="F34" i="13"/>
  <c r="G34" i="13" s="1"/>
  <c r="F18" i="13"/>
  <c r="G18" i="13" s="1"/>
  <c r="F9" i="13"/>
  <c r="G9" i="13" s="1"/>
  <c r="F17" i="13"/>
  <c r="G17" i="13" s="1"/>
  <c r="F25" i="13"/>
  <c r="G25" i="13" s="1"/>
  <c r="F33" i="13"/>
  <c r="G33" i="13" s="1"/>
  <c r="F30" i="13"/>
  <c r="G30" i="13" s="1"/>
  <c r="F28" i="13"/>
  <c r="G28" i="13" s="1"/>
  <c r="F14" i="13"/>
  <c r="G14" i="13" s="1"/>
  <c r="I20" i="14"/>
  <c r="I24" i="14" s="1"/>
</calcChain>
</file>

<file path=xl/sharedStrings.xml><?xml version="1.0" encoding="utf-8"?>
<sst xmlns="http://schemas.openxmlformats.org/spreadsheetml/2006/main" count="411" uniqueCount="121">
  <si>
    <t>SALARIOS BRUTOS</t>
  </si>
  <si>
    <t>P.P. EXTRAS</t>
  </si>
  <si>
    <t>INDEMNIZACION</t>
  </si>
  <si>
    <t>C. DESTINO (18)</t>
  </si>
  <si>
    <t>C. ESPECIFICO (28)</t>
  </si>
  <si>
    <t>C. DESTINO (14)</t>
  </si>
  <si>
    <t>C. ESPECIFICO (24)</t>
  </si>
  <si>
    <t>INDENIZACION</t>
  </si>
  <si>
    <t>€/MES (MÍNIMOS)</t>
  </si>
  <si>
    <t>€/MES (MAXIMOS)</t>
  </si>
  <si>
    <t>€/MES (MÁXIMOS)</t>
  </si>
  <si>
    <t>€/MES (MINIMOS)</t>
  </si>
  <si>
    <t>SUELDO (B)</t>
  </si>
  <si>
    <t>BASE MINIMA/HORA Tº PARCIAL GRUPO 1</t>
  </si>
  <si>
    <t>BASE MINIMA G1</t>
  </si>
  <si>
    <t>BASE MINIMA/HORA Tº PARCIAL GRUPO 2</t>
  </si>
  <si>
    <t>BASE MINIMA/HORA Tº PARCIAL GRUPO 4-11</t>
  </si>
  <si>
    <t>12 DIAS</t>
  </si>
  <si>
    <t>Retribución/año (*1)</t>
  </si>
  <si>
    <t>mínimas</t>
  </si>
  <si>
    <t>máximas</t>
  </si>
  <si>
    <t>PERSONAL INVESTIGADOR</t>
  </si>
  <si>
    <t>Investigador en Formación</t>
  </si>
  <si>
    <t>PERSONAL COLABORADOR EN TAREAS DE INVESTIGACIÓN</t>
  </si>
  <si>
    <t>Titulados superiores I</t>
  </si>
  <si>
    <t>Titulados superiores II</t>
  </si>
  <si>
    <t>Titulados de grado medio</t>
  </si>
  <si>
    <t>Especialistas Técnicos (*2)</t>
  </si>
  <si>
    <t>Auxiliares (*2)</t>
  </si>
  <si>
    <t>TOTAL</t>
  </si>
  <si>
    <t>INVESTIGADOR EN FORMACIÓN</t>
  </si>
  <si>
    <t>INVESTIGADOR JUNIOR</t>
  </si>
  <si>
    <t>INVESTIGADOR SENIOR</t>
  </si>
  <si>
    <t>BASE MINIMA/HORA Tº PARCIAL GRUPO 5</t>
  </si>
  <si>
    <t>AUXILIAR</t>
  </si>
  <si>
    <t>TOTAL…………………</t>
  </si>
  <si>
    <t>TOTAL…………….</t>
  </si>
  <si>
    <t>ESPECIALISTA TECNICO</t>
  </si>
  <si>
    <t>TITULADO SUPERIOR I</t>
  </si>
  <si>
    <t>TITULADO SUPERIOR II</t>
  </si>
  <si>
    <t>TITULADO DE GRADO MEDIO</t>
  </si>
  <si>
    <t>Investigador Senior</t>
  </si>
  <si>
    <t>Investigador Junior</t>
  </si>
  <si>
    <t>DEDICACION HORAS  SEMANALES</t>
  </si>
  <si>
    <t xml:space="preserve">RETRIBUCION MENSUAL BRUTA </t>
  </si>
  <si>
    <t>RETRIBUCIONES MINIMAS</t>
  </si>
  <si>
    <t>RETRIBUCIONES MAXIMAS</t>
  </si>
  <si>
    <t>Grupo de Cotización</t>
  </si>
  <si>
    <t>CONTINGENCIAS COMUNES</t>
  </si>
  <si>
    <t>BASE MINIMA HORA</t>
  </si>
  <si>
    <t>TOPE MÍNIMO</t>
  </si>
  <si>
    <t>TOPE MÁXIMO</t>
  </si>
  <si>
    <t>CONTINGENCIAS PROFESIONALES</t>
  </si>
  <si>
    <t>Base Cotización</t>
  </si>
  <si>
    <t>Tipos cotización %</t>
  </si>
  <si>
    <t>Cuota Patronal</t>
  </si>
  <si>
    <t>Contingencias Comunes</t>
  </si>
  <si>
    <t>Contingencias Profesionales</t>
  </si>
  <si>
    <t>Bases mínimas euros/mes</t>
  </si>
  <si>
    <t>Bases máximas euros/mes</t>
  </si>
  <si>
    <t>CALCULADORA COSTE SEG.SOCIAL TIEMPO COMPLETO</t>
  </si>
  <si>
    <t>TOTAL COSTE SEGURIDAD SOCIAL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</si>
  <si>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DEDICACION de HORAS semanales…………………………….……………………………….</t>
    </r>
  </si>
  <si>
    <t>CALCULADORA COSTE SEG.SOCIAL TIEMPO PARCIAL</t>
  </si>
  <si>
    <t>TOTAL COSTE SEGURIDAD SOCIAL……..</t>
  </si>
  <si>
    <t>CALCULO RC</t>
  </si>
  <si>
    <r>
      <rPr>
        <b/>
        <sz val="10"/>
        <rFont val="Verdana"/>
        <family val="2"/>
      </rPr>
      <t>(*) NOTA:</t>
    </r>
    <r>
      <rPr>
        <sz val="10"/>
        <rFont val="Verdana"/>
        <family val="2"/>
      </rPr>
      <t xml:space="preserve"> Para calcular el coste total del contrato/renovación para el periodo, utilice la siguiente plantilla………………………………………………………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</si>
  <si>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PROPUESTA ……….……………….……………………………….</t>
    </r>
  </si>
  <si>
    <t>Base mín.Cotiz.</t>
  </si>
  <si>
    <t>Tipo cotización %</t>
  </si>
  <si>
    <t>1º año, no inferior a</t>
  </si>
  <si>
    <t>2º año, no inferior a</t>
  </si>
  <si>
    <t>3º año, no inferior a</t>
  </si>
  <si>
    <t>4º año, no inferior a</t>
  </si>
  <si>
    <t>Prorrateo de la cuantía, para percibir identica cuantia anual</t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</si>
  <si>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distintas a las establecidas en tablas, según bases de la convocatoria,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</si>
  <si>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comprendidas </t>
    </r>
    <r>
      <rPr>
        <b/>
        <sz val="9"/>
        <rFont val="Verdana"/>
        <family val="2"/>
      </rPr>
      <t>en el rango del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</si>
  <si>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>, para retribuciones comprendidas en el</t>
    </r>
    <r>
      <rPr>
        <b/>
        <sz val="9"/>
        <rFont val="Verdana"/>
        <family val="2"/>
      </rPr>
      <t xml:space="preserve"> rango del 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</si>
  <si>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t>RETRIBUCION BRUTA MENSUAL (12 pagas)</t>
  </si>
  <si>
    <t>RETRIBUCION MÍNIMA A PERCIBIR (TIEMPO COMPLETO)</t>
  </si>
  <si>
    <t>CONTRATO PREDOCTORAL</t>
  </si>
  <si>
    <t>Grupo de Cotización 1</t>
  </si>
  <si>
    <t>Base mínima/hora</t>
  </si>
  <si>
    <t>TOTAL COSTE SEGURIDAD SOCIAL……………..</t>
  </si>
  <si>
    <t>RETRIBUCION BRUTA MENSUAL (14 pagas)</t>
  </si>
  <si>
    <t>TOTAL COSTE SEGURIDAD SOCIAL……………………</t>
  </si>
  <si>
    <r>
      <t xml:space="preserve">CALCULADORA COSTE SEG.SOCIAL CONTRATO </t>
    </r>
    <r>
      <rPr>
        <b/>
        <sz val="11"/>
        <color rgb="FFFF0000"/>
        <rFont val="Verdana"/>
        <family val="2"/>
      </rPr>
      <t>PREDOCTORAL</t>
    </r>
  </si>
  <si>
    <r>
      <t xml:space="preserve">CALCULADORA COSTE SEG.SOCIAL CONTRATO                                                               </t>
    </r>
    <r>
      <rPr>
        <b/>
        <sz val="11"/>
        <color rgb="FFFF0000"/>
        <rFont val="Verdana"/>
        <family val="2"/>
      </rPr>
      <t xml:space="preserve"> EN PRÁCTICAS/ACCESO CIENCIA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</si>
  <si>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</t>
    </r>
    <r>
      <rPr>
        <sz val="9"/>
        <color rgb="FF0033CC"/>
        <rFont val="Verdana"/>
        <family val="2"/>
      </rPr>
      <t xml:space="preserve"> </t>
    </r>
    <r>
      <rPr>
        <b/>
        <sz val="9"/>
        <color rgb="FF0033CC"/>
        <rFont val="Verdana"/>
        <family val="2"/>
      </rPr>
      <t>h/semana 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</si>
  <si>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 h/semana ………………………………</t>
    </r>
  </si>
  <si>
    <t>BASE MINIMA G2</t>
  </si>
  <si>
    <t>BASE MINIMA G5</t>
  </si>
  <si>
    <t>BASE MINIMA G7</t>
  </si>
  <si>
    <t>RETRIBUCION BRUTA ANUAL (*)</t>
  </si>
  <si>
    <t>OCULTAR ESTA FILA AL PUBLICAR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</si>
  <si>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37,5 h:</t>
    </r>
  </si>
  <si>
    <t>TITULADO GRADO MEDIO</t>
  </si>
  <si>
    <t xml:space="preserve">TABLAS RETRIBUTIVAS DEL PERSONAL INVESTIGADOR EN FORMACIÓN AÑO  2023                                                                                                        </t>
  </si>
  <si>
    <t>CALCULO RC E INDEMNIZACION</t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</si>
  <si>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</t>
    </r>
  </si>
  <si>
    <t>Actualizado a 01.03.23</t>
  </si>
  <si>
    <t>SUELDO (C2)</t>
  </si>
  <si>
    <t>Complemento Compensatorio CD (14)</t>
  </si>
  <si>
    <t>SUELDO (C1)</t>
  </si>
  <si>
    <t>Complemento Compensatorio CD (18)</t>
  </si>
  <si>
    <t>31/12/2024 APLICADAS A 01/09/2025</t>
  </si>
  <si>
    <t>TABLAS 2026 con incremento 2,5%</t>
  </si>
  <si>
    <t>TABLAS septiembre 2025</t>
  </si>
  <si>
    <r>
      <t xml:space="preserve">TABLAS 2026 CON INCREMENTO del </t>
    </r>
    <r>
      <rPr>
        <b/>
        <sz val="10"/>
        <color rgb="FF000000"/>
        <rFont val="Verdana"/>
        <family val="2"/>
      </rPr>
      <t>2,5%</t>
    </r>
    <r>
      <rPr>
        <sz val="10"/>
        <color rgb="FF000000"/>
        <rFont val="Verdana"/>
        <family val="2"/>
      </rPr>
      <t xml:space="preserve"> sobre vigentes desde el 01/09/2025 (efectos de 31/12/2024) más el </t>
    </r>
    <r>
      <rPr>
        <b/>
        <sz val="10"/>
        <color rgb="FF000000"/>
        <rFont val="Verdana"/>
        <family val="2"/>
      </rPr>
      <t>1,5%</t>
    </r>
    <r>
      <rPr>
        <sz val="10"/>
        <color rgb="FF000000"/>
        <rFont val="Verdana"/>
        <family val="2"/>
      </rPr>
      <t xml:space="preserve"> sobre el resultado. Aplicable a 01/03/2026</t>
    </r>
  </si>
  <si>
    <t>TABLAS RETRIBUTIVAS DEL P. COLABORADOR EN TAREAS DE INVESTIGACIÓN (TÉCNICO ESPECIALISTA) AÑO 2026</t>
  </si>
  <si>
    <t xml:space="preserve">TABLAS RETRIBUTIVAS PERSONAL COLABORADOR EN TAREAS DE INVESTIGACIÓN (AUXILIARES) AÑO 2026                                                                                                       </t>
  </si>
  <si>
    <t>TABLAS RETRIBUTIVAS PERSONAL COLABORADOR EN TAREAS DE INVESTIGACIÓN  (TIT. GRADO MEDIOA) AÑO 2026</t>
  </si>
  <si>
    <t xml:space="preserve">TABLAS RETRIBUTIVAS PERSONAL COLABORADOR EN TAREAS DE INVESTIGACIÓN (TIT. SUPERIOR II)     AÑO 2026                                                                                                      </t>
  </si>
  <si>
    <t xml:space="preserve">TABLAS RETRIBUTIVAS PERSONAL COLABORADOR EN TAREAS DE INVESTIGACIÓN (TIT. SUPERIOR I)   AÑO 2026                                                                                                     </t>
  </si>
  <si>
    <t xml:space="preserve">TABLAS RETRIBUTIVAS DEL PERSONAL INVESTIGADOR JUNIOR - AÑO 2026                                                                                                       </t>
  </si>
  <si>
    <t xml:space="preserve">TABLAS RETRIBUTIVAS DEL PERSONAL INVESTIGADOR SENIOR - AÑO 2026                                                                                                         </t>
  </si>
  <si>
    <t>CUOTA  SEG.SOCIAL 32,15%</t>
  </si>
  <si>
    <t>CUOTA SEG.SOCIAL 32,15%</t>
  </si>
  <si>
    <r>
      <t xml:space="preserve">Según el Real Decreto 126/2026, el </t>
    </r>
    <r>
      <rPr>
        <b/>
        <sz val="9"/>
        <rFont val="Verdana"/>
        <family val="2"/>
      </rPr>
      <t xml:space="preserve">Salario Mínimo Interprofesional </t>
    </r>
    <r>
      <rPr>
        <sz val="9"/>
        <rFont val="Verdana"/>
        <family val="2"/>
      </rPr>
      <t xml:space="preserve">para 2026 queda fijado en </t>
    </r>
    <r>
      <rPr>
        <b/>
        <sz val="9"/>
        <rFont val="Verdana"/>
        <family val="2"/>
      </rPr>
      <t>1.424,50€/mes</t>
    </r>
    <r>
      <rPr>
        <sz val="9"/>
        <rFont val="Verdana"/>
        <family val="2"/>
      </rPr>
      <t xml:space="preserve"> a 12 pagas (1.221/mes a 14 pagas), con efectos desde el 1 de enero de 2026.</t>
    </r>
  </si>
  <si>
    <r>
      <t xml:space="preserve">Según el Real Decreto 126/2026, el </t>
    </r>
    <r>
      <rPr>
        <b/>
        <sz val="9"/>
        <rFont val="Verdana"/>
        <family val="2"/>
      </rPr>
      <t xml:space="preserve">Salario Mínimo Interprofesional </t>
    </r>
    <r>
      <rPr>
        <sz val="9"/>
        <rFont val="Verdana"/>
        <family val="2"/>
      </rPr>
      <t xml:space="preserve">para 2026 queda fijado en </t>
    </r>
    <r>
      <rPr>
        <b/>
        <sz val="9"/>
        <rFont val="Verdana"/>
        <family val="2"/>
      </rPr>
      <t>1.424,50€/mes</t>
    </r>
    <r>
      <rPr>
        <sz val="9"/>
        <rFont val="Verdana"/>
        <family val="2"/>
      </rPr>
      <t xml:space="preserve"> a 12 pagas (1.221€/mes a 14 pagas), con efectos desde el 1 de enero de 2026.</t>
    </r>
  </si>
  <si>
    <r>
      <rPr>
        <b/>
        <sz val="9"/>
        <rFont val="Verdana"/>
        <family val="2"/>
      </rPr>
      <t>(*) NOTA:</t>
    </r>
    <r>
      <rPr>
        <sz val="9"/>
        <rFont val="Verdana"/>
        <family val="2"/>
      </rPr>
      <t xml:space="preserve"> Para calcular el coste total del contrato/renovación para el periodo, utilice la siguiente plantilla………………………………………………………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</si>
</sst>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u/>
      <sz val="10"/>
      <name val="Verdana"/>
      <family val="2"/>
    </font>
    <font>
      <sz val="10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9"/>
      <color rgb="FF0000CC"/>
      <name val="Verdana"/>
      <family val="2"/>
    </font>
    <font>
      <b/>
      <sz val="9"/>
      <color rgb="FF0033CC"/>
      <name val="Verdana"/>
      <family val="2"/>
    </font>
    <font>
      <sz val="9"/>
      <color rgb="FF0033CC"/>
      <name val="Verdana"/>
      <family val="2"/>
    </font>
    <font>
      <sz val="10"/>
      <color rgb="FF0033CC"/>
      <name val="Verdana"/>
      <family val="2"/>
    </font>
    <font>
      <i/>
      <sz val="10"/>
      <name val="Verdana"/>
      <family val="2"/>
    </font>
    <font>
      <b/>
      <sz val="10"/>
      <color rgb="FF0033CC"/>
      <name val="Verdana"/>
      <family val="2"/>
    </font>
    <font>
      <u/>
      <sz val="10"/>
      <color theme="10"/>
      <name val="Arial"/>
      <family val="2"/>
    </font>
    <font>
      <b/>
      <i/>
      <sz val="9"/>
      <color theme="0" tint="-0.34998626667073579"/>
      <name val="Verdana"/>
      <family val="2"/>
    </font>
    <font>
      <i/>
      <sz val="10"/>
      <color theme="0" tint="-0.34998626667073579"/>
      <name val="Verdana"/>
      <family val="2"/>
    </font>
    <font>
      <b/>
      <sz val="11"/>
      <color rgb="FFFF0000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9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medium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4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Border="1" applyAlignment="1">
      <alignment vertical="center"/>
    </xf>
    <xf numFmtId="0" fontId="7" fillId="0" borderId="13" xfId="0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4" fontId="7" fillId="0" borderId="0" xfId="0" applyNumberFormat="1" applyFont="1"/>
    <xf numFmtId="0" fontId="9" fillId="0" borderId="18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2" fontId="9" fillId="0" borderId="0" xfId="0" applyNumberFormat="1" applyFont="1"/>
    <xf numFmtId="2" fontId="7" fillId="0" borderId="0" xfId="0" applyNumberFormat="1" applyFont="1"/>
    <xf numFmtId="2" fontId="7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18" xfId="0" applyFont="1" applyFill="1" applyBorder="1"/>
    <xf numFmtId="0" fontId="7" fillId="0" borderId="21" xfId="0" applyFont="1" applyFill="1" applyBorder="1"/>
    <xf numFmtId="0" fontId="7" fillId="0" borderId="19" xfId="0" applyFont="1" applyBorder="1"/>
    <xf numFmtId="0" fontId="7" fillId="0" borderId="20" xfId="0" applyFont="1" applyBorder="1"/>
    <xf numFmtId="0" fontId="16" fillId="2" borderId="4" xfId="0" applyFont="1" applyFill="1" applyBorder="1" applyAlignment="1">
      <alignment vertical="center"/>
    </xf>
    <xf numFmtId="0" fontId="9" fillId="0" borderId="0" xfId="0" applyFont="1"/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13" fillId="0" borderId="9" xfId="0" applyFont="1" applyBorder="1" applyAlignment="1">
      <alignment vertical="center"/>
    </xf>
    <xf numFmtId="0" fontId="9" fillId="3" borderId="2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33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164" fontId="7" fillId="0" borderId="0" xfId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2" fontId="7" fillId="0" borderId="31" xfId="1" applyNumberFormat="1" applyFont="1" applyBorder="1" applyAlignment="1">
      <alignment horizontal="center"/>
    </xf>
    <xf numFmtId="164" fontId="9" fillId="0" borderId="31" xfId="1" applyFont="1" applyBorder="1" applyAlignment="1">
      <alignment horizontal="center"/>
    </xf>
    <xf numFmtId="2" fontId="7" fillId="0" borderId="32" xfId="1" applyNumberFormat="1" applyFont="1" applyBorder="1" applyAlignment="1">
      <alignment horizontal="center"/>
    </xf>
    <xf numFmtId="164" fontId="9" fillId="0" borderId="32" xfId="1" applyFont="1" applyBorder="1" applyAlignment="1">
      <alignment horizontal="center"/>
    </xf>
    <xf numFmtId="0" fontId="19" fillId="0" borderId="34" xfId="0" applyFont="1" applyBorder="1" applyAlignment="1">
      <alignment vertical="center"/>
    </xf>
    <xf numFmtId="0" fontId="7" fillId="0" borderId="36" xfId="0" applyFont="1" applyFill="1" applyBorder="1" applyAlignment="1">
      <alignment horizontal="center"/>
    </xf>
    <xf numFmtId="2" fontId="7" fillId="0" borderId="36" xfId="1" applyNumberFormat="1" applyFont="1" applyBorder="1" applyAlignment="1">
      <alignment horizontal="center"/>
    </xf>
    <xf numFmtId="164" fontId="9" fillId="0" borderId="36" xfId="1" applyFont="1" applyBorder="1" applyAlignment="1">
      <alignment horizontal="center"/>
    </xf>
    <xf numFmtId="164" fontId="9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 shrinkToFit="1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7" fillId="0" borderId="30" xfId="0" applyNumberFormat="1" applyFont="1" applyFill="1" applyBorder="1" applyAlignment="1">
      <alignment horizontal="center"/>
    </xf>
    <xf numFmtId="2" fontId="9" fillId="0" borderId="30" xfId="0" applyNumberFormat="1" applyFont="1" applyFill="1" applyBorder="1" applyAlignment="1">
      <alignment horizontal="center"/>
    </xf>
    <xf numFmtId="2" fontId="7" fillId="0" borderId="31" xfId="0" applyNumberFormat="1" applyFont="1" applyFill="1" applyBorder="1" applyAlignment="1">
      <alignment horizontal="center"/>
    </xf>
    <xf numFmtId="2" fontId="9" fillId="0" borderId="31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2" fontId="9" fillId="0" borderId="32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 wrapText="1"/>
    </xf>
    <xf numFmtId="0" fontId="7" fillId="0" borderId="30" xfId="0" applyFont="1" applyFill="1" applyBorder="1"/>
    <xf numFmtId="0" fontId="7" fillId="0" borderId="31" xfId="0" applyFont="1" applyFill="1" applyBorder="1"/>
    <xf numFmtId="0" fontId="9" fillId="0" borderId="0" xfId="0" applyFont="1" applyBorder="1"/>
    <xf numFmtId="2" fontId="9" fillId="3" borderId="38" xfId="0" applyNumberFormat="1" applyFont="1" applyFill="1" applyBorder="1" applyAlignment="1">
      <alignment horizontal="center" vertical="center" wrapText="1"/>
    </xf>
    <xf numFmtId="2" fontId="7" fillId="3" borderId="3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9" fillId="3" borderId="38" xfId="0" applyNumberFormat="1" applyFont="1" applyFill="1" applyBorder="1" applyAlignment="1">
      <alignment horizontal="center" vertical="center" wrapText="1" shrinkToFit="1"/>
    </xf>
    <xf numFmtId="2" fontId="7" fillId="3" borderId="1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right" wrapText="1"/>
    </xf>
    <xf numFmtId="2" fontId="7" fillId="0" borderId="0" xfId="1" applyNumberFormat="1" applyFont="1" applyAlignment="1">
      <alignment vertical="center"/>
    </xf>
    <xf numFmtId="2" fontId="8" fillId="0" borderId="0" xfId="1" applyNumberFormat="1" applyFont="1" applyBorder="1" applyAlignment="1">
      <alignment vertical="center"/>
    </xf>
    <xf numFmtId="2" fontId="7" fillId="0" borderId="16" xfId="1" applyNumberFormat="1" applyFont="1" applyFill="1" applyBorder="1" applyAlignment="1">
      <alignment vertical="center"/>
    </xf>
    <xf numFmtId="2" fontId="10" fillId="0" borderId="16" xfId="1" applyNumberFormat="1" applyFont="1" applyFill="1" applyBorder="1" applyAlignment="1">
      <alignment vertical="center"/>
    </xf>
    <xf numFmtId="2" fontId="9" fillId="0" borderId="12" xfId="1" applyNumberFormat="1" applyFont="1" applyFill="1" applyBorder="1"/>
    <xf numFmtId="2" fontId="7" fillId="0" borderId="0" xfId="1" applyNumberFormat="1" applyFont="1"/>
    <xf numFmtId="2" fontId="7" fillId="0" borderId="0" xfId="1" applyNumberFormat="1" applyFont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3" xfId="1" applyNumberFormat="1" applyFont="1" applyFill="1" applyBorder="1" applyAlignment="1">
      <alignment horizontal="right" wrapText="1"/>
    </xf>
    <xf numFmtId="2" fontId="7" fillId="0" borderId="21" xfId="0" applyNumberFormat="1" applyFont="1" applyFill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7" fillId="0" borderId="0" xfId="1" applyNumberFormat="1" applyFont="1" applyBorder="1" applyAlignment="1">
      <alignment horizontal="right" wrapText="1"/>
    </xf>
    <xf numFmtId="2" fontId="7" fillId="0" borderId="22" xfId="1" applyNumberFormat="1" applyFont="1" applyBorder="1" applyAlignment="1">
      <alignment horizontal="right" wrapText="1"/>
    </xf>
    <xf numFmtId="2" fontId="9" fillId="0" borderId="8" xfId="1" applyNumberFormat="1" applyFont="1" applyBorder="1" applyAlignment="1">
      <alignment horizontal="right" wrapText="1"/>
    </xf>
    <xf numFmtId="2" fontId="9" fillId="0" borderId="23" xfId="1" applyNumberFormat="1" applyFont="1" applyBorder="1" applyAlignment="1">
      <alignment horizontal="right" wrapText="1"/>
    </xf>
    <xf numFmtId="2" fontId="9" fillId="0" borderId="0" xfId="0" applyNumberFormat="1" applyFont="1" applyAlignment="1">
      <alignment horizontal="right" wrapText="1"/>
    </xf>
    <xf numFmtId="2" fontId="9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center"/>
    </xf>
    <xf numFmtId="2" fontId="15" fillId="0" borderId="16" xfId="1" applyNumberFormat="1" applyFont="1" applyBorder="1" applyAlignment="1">
      <alignment horizontal="center" vertical="center"/>
    </xf>
    <xf numFmtId="2" fontId="15" fillId="0" borderId="7" xfId="1" applyNumberFormat="1" applyFont="1" applyBorder="1" applyAlignment="1">
      <alignment horizontal="center" vertical="center"/>
    </xf>
    <xf numFmtId="2" fontId="15" fillId="0" borderId="2" xfId="1" applyNumberFormat="1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center" wrapText="1"/>
    </xf>
    <xf numFmtId="0" fontId="26" fillId="0" borderId="6" xfId="0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30" fillId="0" borderId="0" xfId="0" applyFont="1" applyAlignment="1">
      <alignment horizontal="center" wrapText="1"/>
    </xf>
    <xf numFmtId="2" fontId="30" fillId="0" borderId="0" xfId="0" applyNumberFormat="1" applyFont="1"/>
    <xf numFmtId="0" fontId="30" fillId="0" borderId="0" xfId="0" applyFont="1"/>
    <xf numFmtId="0" fontId="30" fillId="0" borderId="0" xfId="0" applyFont="1" applyAlignment="1"/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1" fillId="0" borderId="21" xfId="0" applyFont="1" applyBorder="1" applyAlignment="1">
      <alignment vertical="center" wrapText="1"/>
    </xf>
    <xf numFmtId="8" fontId="31" fillId="0" borderId="21" xfId="0" applyNumberFormat="1" applyFont="1" applyBorder="1" applyAlignme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right" vertical="center"/>
    </xf>
    <xf numFmtId="8" fontId="32" fillId="2" borderId="6" xfId="2" applyNumberFormat="1" applyFont="1" applyFill="1" applyBorder="1" applyAlignment="1">
      <alignment vertical="center"/>
    </xf>
    <xf numFmtId="2" fontId="7" fillId="0" borderId="28" xfId="0" applyNumberFormat="1" applyFont="1" applyBorder="1" applyAlignment="1">
      <alignment horizontal="center" wrapText="1"/>
    </xf>
    <xf numFmtId="10" fontId="7" fillId="0" borderId="0" xfId="0" applyNumberFormat="1" applyFont="1" applyFill="1" applyBorder="1"/>
    <xf numFmtId="0" fontId="26" fillId="0" borderId="16" xfId="0" applyFont="1" applyBorder="1" applyAlignment="1">
      <alignment horizontal="center" vertical="center"/>
    </xf>
    <xf numFmtId="2" fontId="31" fillId="0" borderId="6" xfId="3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4" fillId="0" borderId="6" xfId="0" applyFont="1" applyBorder="1" applyAlignment="1">
      <alignment horizontal="center" vertical="center"/>
    </xf>
    <xf numFmtId="2" fontId="15" fillId="0" borderId="16" xfId="1" applyNumberFormat="1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2" fontId="9" fillId="3" borderId="4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8" fillId="4" borderId="24" xfId="0" applyFont="1" applyFill="1" applyBorder="1" applyAlignment="1">
      <alignment vertical="center"/>
    </xf>
    <xf numFmtId="2" fontId="9" fillId="4" borderId="25" xfId="0" applyNumberFormat="1" applyFont="1" applyFill="1" applyBorder="1" applyAlignment="1">
      <alignment horizontal="center" wrapText="1"/>
    </xf>
    <xf numFmtId="2" fontId="9" fillId="4" borderId="26" xfId="0" applyNumberFormat="1" applyFont="1" applyFill="1" applyBorder="1" applyAlignment="1">
      <alignment horizontal="center" wrapText="1"/>
    </xf>
    <xf numFmtId="0" fontId="8" fillId="4" borderId="2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164" fontId="9" fillId="0" borderId="31" xfId="1" applyFont="1" applyBorder="1" applyAlignment="1">
      <alignment horizontal="center" vertical="center"/>
    </xf>
    <xf numFmtId="164" fontId="7" fillId="0" borderId="31" xfId="1" applyFont="1" applyBorder="1" applyAlignment="1">
      <alignment horizontal="center"/>
    </xf>
    <xf numFmtId="164" fontId="7" fillId="0" borderId="46" xfId="1" applyFont="1" applyBorder="1" applyAlignment="1">
      <alignment horizontal="center"/>
    </xf>
    <xf numFmtId="164" fontId="7" fillId="0" borderId="48" xfId="1" applyFont="1" applyBorder="1" applyAlignment="1">
      <alignment horizontal="center"/>
    </xf>
    <xf numFmtId="44" fontId="7" fillId="0" borderId="0" xfId="0" applyNumberFormat="1" applyFont="1"/>
    <xf numFmtId="0" fontId="24" fillId="0" borderId="0" xfId="0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/>
    </xf>
    <xf numFmtId="8" fontId="32" fillId="2" borderId="6" xfId="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2" fontId="31" fillId="2" borderId="6" xfId="2" applyNumberFormat="1" applyFont="1" applyFill="1" applyBorder="1" applyAlignment="1">
      <alignment horizontal="center" vertical="center"/>
    </xf>
    <xf numFmtId="44" fontId="4" fillId="0" borderId="0" xfId="2" applyFont="1"/>
    <xf numFmtId="0" fontId="28" fillId="0" borderId="0" xfId="0" applyFont="1" applyFill="1" applyBorder="1" applyAlignment="1">
      <alignment horizontal="left" vertical="center" wrapText="1"/>
    </xf>
    <xf numFmtId="0" fontId="16" fillId="0" borderId="41" xfId="0" applyFont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wrapText="1"/>
    </xf>
    <xf numFmtId="0" fontId="7" fillId="0" borderId="47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16" fillId="0" borderId="0" xfId="0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 wrapText="1"/>
    </xf>
    <xf numFmtId="1" fontId="32" fillId="0" borderId="0" xfId="2" applyNumberFormat="1" applyFont="1" applyFill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164" fontId="7" fillId="0" borderId="50" xfId="1" applyFont="1" applyBorder="1" applyAlignment="1">
      <alignment horizontal="center"/>
    </xf>
    <xf numFmtId="164" fontId="7" fillId="0" borderId="51" xfId="1" applyFont="1" applyBorder="1" applyAlignment="1">
      <alignment horizontal="center"/>
    </xf>
    <xf numFmtId="164" fontId="9" fillId="0" borderId="53" xfId="1" applyFont="1" applyBorder="1" applyAlignment="1">
      <alignment horizontal="center" vertical="center"/>
    </xf>
    <xf numFmtId="164" fontId="9" fillId="0" borderId="52" xfId="1" applyFont="1" applyBorder="1" applyAlignment="1">
      <alignment horizontal="center" vertical="center"/>
    </xf>
    <xf numFmtId="164" fontId="7" fillId="0" borderId="53" xfId="1" applyFont="1" applyBorder="1" applyAlignment="1">
      <alignment horizontal="center"/>
    </xf>
    <xf numFmtId="164" fontId="7" fillId="0" borderId="54" xfId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vertical="center"/>
    </xf>
    <xf numFmtId="4" fontId="32" fillId="0" borderId="0" xfId="1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8" fontId="32" fillId="2" borderId="4" xfId="2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 shrinkToFit="1"/>
    </xf>
    <xf numFmtId="2" fontId="9" fillId="0" borderId="3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2" fontId="7" fillId="0" borderId="55" xfId="0" applyNumberFormat="1" applyFont="1" applyBorder="1" applyAlignment="1">
      <alignment horizontal="center" wrapText="1"/>
    </xf>
    <xf numFmtId="2" fontId="7" fillId="0" borderId="0" xfId="1" applyNumberFormat="1" applyFont="1" applyBorder="1" applyAlignment="1">
      <alignment horizontal="center" vertical="center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4" fontId="32" fillId="2" borderId="6" xfId="2" applyFont="1" applyFill="1" applyBorder="1" applyAlignment="1">
      <alignment vertical="center"/>
    </xf>
    <xf numFmtId="2" fontId="9" fillId="0" borderId="31" xfId="0" applyNumberFormat="1" applyFont="1" applyFill="1" applyBorder="1" applyAlignment="1">
      <alignment horizontal="left"/>
    </xf>
    <xf numFmtId="2" fontId="7" fillId="0" borderId="2" xfId="1" applyNumberFormat="1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/>
    </xf>
    <xf numFmtId="4" fontId="38" fillId="0" borderId="1" xfId="0" applyNumberFormat="1" applyFont="1" applyBorder="1" applyAlignment="1">
      <alignment horizontal="right"/>
    </xf>
    <xf numFmtId="4" fontId="39" fillId="0" borderId="1" xfId="0" applyNumberFormat="1" applyFont="1" applyBorder="1" applyAlignment="1">
      <alignment horizontal="right"/>
    </xf>
    <xf numFmtId="2" fontId="7" fillId="3" borderId="17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right"/>
    </xf>
    <xf numFmtId="10" fontId="9" fillId="5" borderId="0" xfId="0" applyNumberFormat="1" applyFont="1" applyFill="1"/>
    <xf numFmtId="0" fontId="7" fillId="5" borderId="0" xfId="0" applyFont="1" applyFill="1"/>
    <xf numFmtId="44" fontId="32" fillId="2" borderId="11" xfId="2" applyFont="1" applyFill="1" applyBorder="1" applyAlignment="1">
      <alignment horizontal="center" vertical="center"/>
    </xf>
    <xf numFmtId="44" fontId="32" fillId="2" borderId="12" xfId="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/>
    </xf>
    <xf numFmtId="4" fontId="25" fillId="0" borderId="27" xfId="0" applyNumberFormat="1" applyFont="1" applyFill="1" applyBorder="1" applyAlignment="1">
      <alignment horizontal="center" vertical="center"/>
    </xf>
    <xf numFmtId="4" fontId="25" fillId="0" borderId="38" xfId="0" applyNumberFormat="1" applyFont="1" applyFill="1" applyBorder="1" applyAlignment="1">
      <alignment horizontal="center" vertical="center" wrapText="1"/>
    </xf>
    <xf numFmtId="4" fontId="25" fillId="0" borderId="27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2" fontId="31" fillId="0" borderId="39" xfId="3" applyNumberFormat="1" applyFont="1" applyBorder="1" applyAlignment="1">
      <alignment horizontal="center" vertical="center"/>
    </xf>
    <xf numFmtId="2" fontId="31" fillId="0" borderId="40" xfId="3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8" fontId="31" fillId="0" borderId="7" xfId="0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center" vertical="center"/>
    </xf>
    <xf numFmtId="8" fontId="31" fillId="0" borderId="11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8" fontId="31" fillId="0" borderId="7" xfId="0" applyNumberFormat="1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0" fontId="27" fillId="2" borderId="4" xfId="0" applyFont="1" applyFill="1" applyBorder="1" applyAlignment="1">
      <alignment horizontal="right" vertical="center" wrapText="1"/>
    </xf>
    <xf numFmtId="0" fontId="27" fillId="2" borderId="14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24" fillId="0" borderId="0" xfId="0" applyFont="1" applyBorder="1" applyAlignment="1">
      <alignment horizontal="left" vertical="center" wrapText="1"/>
    </xf>
    <xf numFmtId="0" fontId="33" fillId="0" borderId="0" xfId="4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2" fontId="31" fillId="0" borderId="7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2" fontId="31" fillId="0" borderId="7" xfId="3" applyNumberFormat="1" applyFont="1" applyBorder="1" applyAlignment="1">
      <alignment horizontal="center" vertical="center"/>
    </xf>
    <xf numFmtId="2" fontId="31" fillId="0" borderId="3" xfId="3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right" vertical="center"/>
    </xf>
    <xf numFmtId="1" fontId="32" fillId="2" borderId="11" xfId="2" applyNumberFormat="1" applyFont="1" applyFill="1" applyBorder="1" applyAlignment="1">
      <alignment horizontal="center" vertical="center"/>
    </xf>
    <xf numFmtId="1" fontId="32" fillId="2" borderId="12" xfId="2" applyNumberFormat="1" applyFont="1" applyFill="1" applyBorder="1" applyAlignment="1">
      <alignment horizontal="center" vertical="center"/>
    </xf>
    <xf numFmtId="164" fontId="17" fillId="0" borderId="34" xfId="1" applyFont="1" applyFill="1" applyBorder="1" applyAlignment="1">
      <alignment horizontal="center" vertical="center" wrapText="1"/>
    </xf>
    <xf numFmtId="164" fontId="17" fillId="0" borderId="35" xfId="1" applyFont="1" applyFill="1" applyBorder="1" applyAlignment="1">
      <alignment horizontal="center" vertical="center" wrapText="1"/>
    </xf>
    <xf numFmtId="2" fontId="17" fillId="0" borderId="34" xfId="1" applyNumberFormat="1" applyFont="1" applyFill="1" applyBorder="1" applyAlignment="1">
      <alignment horizontal="center" vertical="center" wrapText="1"/>
    </xf>
    <xf numFmtId="2" fontId="17" fillId="0" borderId="35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33" fillId="0" borderId="0" xfId="4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8" fontId="31" fillId="0" borderId="10" xfId="0" applyNumberFormat="1" applyFont="1" applyBorder="1" applyAlignment="1">
      <alignment horizontal="center" vertical="center"/>
    </xf>
    <xf numFmtId="8" fontId="31" fillId="0" borderId="18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5" fontId="32" fillId="2" borderId="11" xfId="2" applyNumberFormat="1" applyFont="1" applyFill="1" applyBorder="1" applyAlignment="1">
      <alignment horizontal="center" vertical="center"/>
    </xf>
    <xf numFmtId="165" fontId="32" fillId="2" borderId="12" xfId="2" applyNumberFormat="1" applyFont="1" applyFill="1" applyBorder="1" applyAlignment="1">
      <alignment horizontal="center" vertical="center"/>
    </xf>
    <xf numFmtId="2" fontId="17" fillId="0" borderId="17" xfId="0" applyNumberFormat="1" applyFont="1" applyFill="1" applyBorder="1" applyAlignment="1">
      <alignment horizontal="center" vertical="center" wrapText="1"/>
    </xf>
    <xf numFmtId="2" fontId="17" fillId="0" borderId="29" xfId="0" applyNumberFormat="1" applyFont="1" applyFill="1" applyBorder="1" applyAlignment="1">
      <alignment horizontal="center" vertical="center" wrapText="1"/>
    </xf>
    <xf numFmtId="1" fontId="32" fillId="2" borderId="7" xfId="2" applyNumberFormat="1" applyFont="1" applyFill="1" applyBorder="1" applyAlignment="1">
      <alignment horizontal="center" vertical="center"/>
    </xf>
    <xf numFmtId="1" fontId="32" fillId="2" borderId="3" xfId="2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35" fillId="0" borderId="7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15" fillId="0" borderId="0" xfId="0" applyFont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2" fontId="7" fillId="0" borderId="16" xfId="0" applyNumberFormat="1" applyFont="1" applyBorder="1" applyAlignment="1">
      <alignment horizontal="right" wrapText="1"/>
    </xf>
    <xf numFmtId="2" fontId="7" fillId="0" borderId="12" xfId="0" applyNumberFormat="1" applyFont="1" applyBorder="1" applyAlignment="1">
      <alignment horizontal="right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21" fillId="0" borderId="16" xfId="0" applyNumberFormat="1" applyFont="1" applyBorder="1" applyAlignment="1">
      <alignment horizontal="right" wrapText="1"/>
    </xf>
    <xf numFmtId="2" fontId="21" fillId="0" borderId="12" xfId="0" applyNumberFormat="1" applyFont="1" applyBorder="1" applyAlignment="1">
      <alignment horizontal="right" wrapText="1"/>
    </xf>
    <xf numFmtId="0" fontId="22" fillId="4" borderId="4" xfId="0" applyFont="1" applyFill="1" applyBorder="1" applyAlignment="1">
      <alignment horizontal="justify" vertical="center" wrapText="1"/>
    </xf>
    <xf numFmtId="0" fontId="22" fillId="4" borderId="14" xfId="0" applyFont="1" applyFill="1" applyBorder="1" applyAlignment="1">
      <alignment horizontal="justify" vertical="center" wrapText="1"/>
    </xf>
    <xf numFmtId="0" fontId="22" fillId="4" borderId="5" xfId="0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0C0C0"/>
      <color rgb="FF0033CC"/>
      <color rgb="FF0000CC"/>
      <color rgb="FF0000FF"/>
      <color rgb="FF33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erviciopas.umh.es/files/2019/04/CALCULO-RC-nuevo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serviciopas.umh.es/files/2023/01/CALCULO-RC-contrato-e-indemnizacion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="95" zoomScaleNormal="95" workbookViewId="0">
      <selection activeCell="G49" sqref="G49"/>
    </sheetView>
  </sheetViews>
  <sheetFormatPr baseColWidth="10" defaultColWidth="11.5703125" defaultRowHeight="12.75" x14ac:dyDescent="0.2"/>
  <cols>
    <col min="1" max="1" width="16" style="33" customWidth="1"/>
    <col min="2" max="2" width="21.85546875" style="33" customWidth="1"/>
    <col min="3" max="3" width="0.140625" style="33" customWidth="1"/>
    <col min="4" max="4" width="14.42578125" style="113" customWidth="1"/>
    <col min="5" max="5" width="16.42578125" style="8" customWidth="1"/>
    <col min="6" max="6" width="24.7109375" style="8" customWidth="1"/>
    <col min="7" max="7" width="18.42578125" style="8" customWidth="1"/>
    <col min="8" max="8" width="7.85546875" style="8" customWidth="1"/>
    <col min="9" max="9" width="18.7109375" style="35" customWidth="1"/>
    <col min="10" max="10" width="18.28515625" style="19" customWidth="1"/>
    <col min="11" max="11" width="17.42578125" style="8" customWidth="1"/>
    <col min="12" max="12" width="16.7109375" style="112" customWidth="1"/>
    <col min="13" max="13" width="18" style="8" customWidth="1"/>
    <col min="14" max="16384" width="11.5703125" style="8"/>
  </cols>
  <sheetData>
    <row r="1" spans="1:13" ht="43.15" customHeight="1" x14ac:dyDescent="0.2">
      <c r="A1" s="236" t="s">
        <v>115</v>
      </c>
      <c r="B1" s="237"/>
      <c r="C1" s="237"/>
      <c r="D1" s="237"/>
      <c r="E1" s="237"/>
      <c r="F1" s="237"/>
      <c r="G1" s="237"/>
      <c r="I1" s="239" t="s">
        <v>119</v>
      </c>
      <c r="J1" s="240"/>
      <c r="K1" s="240"/>
      <c r="L1" s="240"/>
      <c r="M1" s="241"/>
    </row>
    <row r="2" spans="1:13" s="36" customFormat="1" ht="28.5" customHeight="1" x14ac:dyDescent="0.2">
      <c r="A2" s="44"/>
      <c r="B2" s="230" t="s">
        <v>45</v>
      </c>
      <c r="C2" s="230"/>
      <c r="D2" s="230"/>
      <c r="E2" s="42"/>
      <c r="F2" s="230" t="s">
        <v>46</v>
      </c>
      <c r="G2" s="231"/>
      <c r="I2" s="229" t="s">
        <v>48</v>
      </c>
      <c r="J2" s="229"/>
      <c r="K2" s="229"/>
      <c r="L2" s="229" t="s">
        <v>52</v>
      </c>
      <c r="M2" s="229"/>
    </row>
    <row r="3" spans="1:13" s="27" customFormat="1" ht="48.4" customHeight="1" x14ac:dyDescent="0.2">
      <c r="A3" s="43" t="s">
        <v>43</v>
      </c>
      <c r="B3" s="40" t="s">
        <v>44</v>
      </c>
      <c r="C3" s="40" t="s">
        <v>49</v>
      </c>
      <c r="D3" s="185" t="s">
        <v>116</v>
      </c>
      <c r="E3" s="40" t="s">
        <v>43</v>
      </c>
      <c r="F3" s="40" t="s">
        <v>44</v>
      </c>
      <c r="G3" s="41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3" ht="16.5" customHeight="1" x14ac:dyDescent="0.2">
      <c r="A4" s="37">
        <v>37.5</v>
      </c>
      <c r="B4" s="45">
        <f>PARAMETROS!B2</f>
        <v>2927.1400044444445</v>
      </c>
      <c r="C4" s="45"/>
      <c r="D4" s="128"/>
      <c r="E4" s="37">
        <v>37.5</v>
      </c>
      <c r="F4" s="45">
        <f>PARAMETROS!C2</f>
        <v>3805.2818309722225</v>
      </c>
      <c r="G4" s="45">
        <f>IF(F4&gt;=$K$4,$K$4*$K$18%,F4*$K$18%)</f>
        <v>1223.3981086575695</v>
      </c>
      <c r="I4" s="238">
        <v>1</v>
      </c>
      <c r="J4" s="234">
        <v>1989.3</v>
      </c>
      <c r="K4" s="234">
        <v>5101.2</v>
      </c>
      <c r="L4" s="232">
        <v>1424.4</v>
      </c>
      <c r="M4" s="234">
        <v>5101.2</v>
      </c>
    </row>
    <row r="5" spans="1:13" ht="16.5" customHeight="1" x14ac:dyDescent="0.2">
      <c r="A5" s="38">
        <v>36</v>
      </c>
      <c r="B5" s="46">
        <f>(PRODUCT(B$4,A5)/A$4)</f>
        <v>2810.0544042666666</v>
      </c>
      <c r="C5" s="186">
        <f>((A5/$A$4*7.5*5)/7)*30*$D$43</f>
        <v>1848.3428571428574</v>
      </c>
      <c r="D5" s="128">
        <f t="shared" ref="D5:D40" si="0">IF(B5&lt;C5,C5*$K$18%,B5*$K$18%)</f>
        <v>903.43249097173327</v>
      </c>
      <c r="E5" s="38">
        <v>36</v>
      </c>
      <c r="F5" s="46">
        <f t="shared" ref="F5:F40" si="1">PRODUCT(F$4,E5)/E$4</f>
        <v>3653.0705577333333</v>
      </c>
      <c r="G5" s="46">
        <f t="shared" ref="G5:G40" si="2">IF(F5&gt;=$K$4,$K$4*$K$18%,F5*$K$18%)</f>
        <v>1174.4621843112666</v>
      </c>
      <c r="I5" s="238"/>
      <c r="J5" s="235"/>
      <c r="K5" s="235"/>
      <c r="L5" s="233"/>
      <c r="M5" s="235"/>
    </row>
    <row r="6" spans="1:13" ht="16.5" customHeight="1" x14ac:dyDescent="0.2">
      <c r="A6" s="38">
        <v>35</v>
      </c>
      <c r="B6" s="46">
        <f t="shared" ref="B6:B40" si="3">(PRODUCT(B$4,A6)/A$4)</f>
        <v>2731.9973374814817</v>
      </c>
      <c r="C6" s="186">
        <f t="shared" ref="C6:C40" si="4">((A6/A$4*7.5*5)/7)*30*$D$43</f>
        <v>1797</v>
      </c>
      <c r="D6" s="128">
        <f t="shared" si="0"/>
        <v>878.33714400029635</v>
      </c>
      <c r="E6" s="38">
        <v>35</v>
      </c>
      <c r="F6" s="46">
        <f t="shared" si="1"/>
        <v>3551.5963755740745</v>
      </c>
      <c r="G6" s="46">
        <f t="shared" si="2"/>
        <v>1141.8382347470649</v>
      </c>
      <c r="J6" s="8"/>
    </row>
    <row r="7" spans="1:13" ht="16.5" customHeight="1" thickBot="1" x14ac:dyDescent="0.25">
      <c r="A7" s="38">
        <v>34</v>
      </c>
      <c r="B7" s="46">
        <f t="shared" si="3"/>
        <v>2653.9402706962965</v>
      </c>
      <c r="C7" s="186">
        <f t="shared" si="4"/>
        <v>1745.6571428571426</v>
      </c>
      <c r="D7" s="128">
        <f t="shared" si="0"/>
        <v>853.24179702885931</v>
      </c>
      <c r="E7" s="38">
        <v>34</v>
      </c>
      <c r="F7" s="46">
        <f t="shared" si="1"/>
        <v>3450.1221934148148</v>
      </c>
      <c r="G7" s="46">
        <f t="shared" si="2"/>
        <v>1109.214285182863</v>
      </c>
    </row>
    <row r="8" spans="1:13" ht="16.5" customHeight="1" x14ac:dyDescent="0.2">
      <c r="A8" s="38">
        <v>33</v>
      </c>
      <c r="B8" s="46">
        <f t="shared" si="3"/>
        <v>2575.8832039111112</v>
      </c>
      <c r="C8" s="186">
        <f t="shared" si="4"/>
        <v>1694.3142857142859</v>
      </c>
      <c r="D8" s="128">
        <f t="shared" si="0"/>
        <v>828.14645005742227</v>
      </c>
      <c r="E8" s="38">
        <v>33</v>
      </c>
      <c r="F8" s="46">
        <f t="shared" si="1"/>
        <v>3348.6480112555555</v>
      </c>
      <c r="G8" s="46">
        <f t="shared" si="2"/>
        <v>1076.5903356186611</v>
      </c>
      <c r="I8" s="219" t="s">
        <v>88</v>
      </c>
      <c r="J8" s="219"/>
      <c r="K8" s="220"/>
      <c r="L8" s="217">
        <v>0</v>
      </c>
    </row>
    <row r="9" spans="1:13" ht="16.5" customHeight="1" thickBot="1" x14ac:dyDescent="0.25">
      <c r="A9" s="38">
        <v>32</v>
      </c>
      <c r="B9" s="46">
        <f t="shared" si="3"/>
        <v>2497.8261371259259</v>
      </c>
      <c r="C9" s="186">
        <f t="shared" si="4"/>
        <v>1642.9714285714285</v>
      </c>
      <c r="D9" s="128">
        <f t="shared" si="0"/>
        <v>803.05110308598523</v>
      </c>
      <c r="E9" s="38">
        <v>32</v>
      </c>
      <c r="F9" s="46">
        <f t="shared" si="1"/>
        <v>3247.1738290962967</v>
      </c>
      <c r="G9" s="46">
        <f t="shared" si="2"/>
        <v>1043.9663860544595</v>
      </c>
      <c r="I9" s="219"/>
      <c r="J9" s="219"/>
      <c r="K9" s="220"/>
      <c r="L9" s="218"/>
    </row>
    <row r="10" spans="1:13" ht="16.5" customHeight="1" thickBot="1" x14ac:dyDescent="0.25">
      <c r="A10" s="38">
        <v>31</v>
      </c>
      <c r="B10" s="46">
        <f t="shared" si="3"/>
        <v>2419.7690703407407</v>
      </c>
      <c r="C10" s="186">
        <f t="shared" si="4"/>
        <v>1591.6285714285716</v>
      </c>
      <c r="D10" s="128">
        <f t="shared" si="0"/>
        <v>777.95575611454819</v>
      </c>
      <c r="E10" s="38">
        <v>31</v>
      </c>
      <c r="F10" s="46">
        <f t="shared" si="1"/>
        <v>3145.6996469370374</v>
      </c>
      <c r="G10" s="46">
        <f t="shared" si="2"/>
        <v>1011.3424364902576</v>
      </c>
      <c r="I10" s="117"/>
      <c r="J10" s="118"/>
      <c r="K10" s="119"/>
      <c r="L10" s="120"/>
    </row>
    <row r="11" spans="1:13" ht="16.5" customHeight="1" x14ac:dyDescent="0.2">
      <c r="A11" s="38">
        <v>30</v>
      </c>
      <c r="B11" s="46">
        <f t="shared" si="3"/>
        <v>2341.7120035555554</v>
      </c>
      <c r="C11" s="186">
        <f t="shared" si="4"/>
        <v>1540.2857142857142</v>
      </c>
      <c r="D11" s="128">
        <f t="shared" si="0"/>
        <v>752.86040914311104</v>
      </c>
      <c r="E11" s="38">
        <v>30</v>
      </c>
      <c r="F11" s="46">
        <f t="shared" si="1"/>
        <v>3044.2254647777781</v>
      </c>
      <c r="G11" s="46">
        <f t="shared" si="2"/>
        <v>978.71848692605568</v>
      </c>
      <c r="I11" s="221" t="s">
        <v>60</v>
      </c>
      <c r="J11" s="222"/>
      <c r="K11" s="222"/>
      <c r="L11" s="223"/>
    </row>
    <row r="12" spans="1:13" ht="16.5" customHeight="1" thickBot="1" x14ac:dyDescent="0.25">
      <c r="A12" s="38">
        <v>29</v>
      </c>
      <c r="B12" s="46">
        <f t="shared" si="3"/>
        <v>2263.6549367703701</v>
      </c>
      <c r="C12" s="186">
        <f t="shared" si="4"/>
        <v>1488.9428571428573</v>
      </c>
      <c r="D12" s="128">
        <f t="shared" si="0"/>
        <v>727.765062171674</v>
      </c>
      <c r="E12" s="38">
        <v>29</v>
      </c>
      <c r="F12" s="46">
        <f t="shared" si="1"/>
        <v>2942.7512826185189</v>
      </c>
      <c r="G12" s="46">
        <f t="shared" si="2"/>
        <v>946.0945373618539</v>
      </c>
      <c r="I12" s="224"/>
      <c r="J12" s="225"/>
      <c r="K12" s="225"/>
      <c r="L12" s="226"/>
    </row>
    <row r="13" spans="1:13" ht="16.5" customHeight="1" thickBot="1" x14ac:dyDescent="0.25">
      <c r="A13" s="38">
        <v>28</v>
      </c>
      <c r="B13" s="46">
        <f t="shared" si="3"/>
        <v>2185.5978699851853</v>
      </c>
      <c r="C13" s="186">
        <f t="shared" si="4"/>
        <v>1437.6000000000004</v>
      </c>
      <c r="D13" s="128">
        <f t="shared" si="0"/>
        <v>702.66971520023708</v>
      </c>
      <c r="E13" s="38">
        <v>28</v>
      </c>
      <c r="F13" s="46">
        <f t="shared" si="1"/>
        <v>2841.2771004592596</v>
      </c>
      <c r="G13" s="46">
        <f t="shared" si="2"/>
        <v>913.470587797652</v>
      </c>
      <c r="I13" s="114"/>
      <c r="J13" s="115" t="s">
        <v>53</v>
      </c>
      <c r="K13" s="130" t="s">
        <v>54</v>
      </c>
      <c r="L13" s="116" t="s">
        <v>55</v>
      </c>
    </row>
    <row r="14" spans="1:13" ht="16.5" customHeight="1" x14ac:dyDescent="0.2">
      <c r="A14" s="38">
        <v>27</v>
      </c>
      <c r="B14" s="46">
        <f t="shared" si="3"/>
        <v>2107.5408032</v>
      </c>
      <c r="C14" s="186">
        <f t="shared" si="4"/>
        <v>1386.2571428571428</v>
      </c>
      <c r="D14" s="128">
        <f t="shared" si="0"/>
        <v>677.57436822880004</v>
      </c>
      <c r="E14" s="38">
        <v>27</v>
      </c>
      <c r="F14" s="46">
        <f t="shared" si="1"/>
        <v>2739.8029182999999</v>
      </c>
      <c r="G14" s="46">
        <f t="shared" si="2"/>
        <v>880.84663823344999</v>
      </c>
      <c r="I14" s="227" t="s">
        <v>56</v>
      </c>
      <c r="J14" s="246">
        <f>IF(L8&gt;=J4,L8,J4)</f>
        <v>1989.3</v>
      </c>
      <c r="K14" s="242">
        <v>24.35</v>
      </c>
      <c r="L14" s="248">
        <f>J14*K14%</f>
        <v>484.39455000000004</v>
      </c>
    </row>
    <row r="15" spans="1:13" ht="16.5" customHeight="1" thickBot="1" x14ac:dyDescent="0.25">
      <c r="A15" s="38">
        <v>26</v>
      </c>
      <c r="B15" s="46">
        <f t="shared" si="3"/>
        <v>2029.4837364148148</v>
      </c>
      <c r="C15" s="186">
        <f t="shared" si="4"/>
        <v>1334.9142857142858</v>
      </c>
      <c r="D15" s="128">
        <f t="shared" si="0"/>
        <v>652.479021257363</v>
      </c>
      <c r="E15" s="38">
        <v>26</v>
      </c>
      <c r="F15" s="46">
        <f t="shared" si="1"/>
        <v>2638.3287361407406</v>
      </c>
      <c r="G15" s="46">
        <f t="shared" si="2"/>
        <v>848.2226886692481</v>
      </c>
      <c r="I15" s="228"/>
      <c r="J15" s="247"/>
      <c r="K15" s="243"/>
      <c r="L15" s="249"/>
    </row>
    <row r="16" spans="1:13" ht="16.5" customHeight="1" x14ac:dyDescent="0.2">
      <c r="A16" s="38">
        <v>25</v>
      </c>
      <c r="B16" s="46">
        <f t="shared" si="3"/>
        <v>1951.4266696296295</v>
      </c>
      <c r="C16" s="186">
        <f t="shared" si="4"/>
        <v>1283.5714285714287</v>
      </c>
      <c r="D16" s="128">
        <f t="shared" si="0"/>
        <v>627.38367428592585</v>
      </c>
      <c r="E16" s="38">
        <v>25</v>
      </c>
      <c r="F16" s="46">
        <f t="shared" si="1"/>
        <v>2536.8545539814818</v>
      </c>
      <c r="G16" s="46">
        <f t="shared" si="2"/>
        <v>815.59873910504643</v>
      </c>
      <c r="I16" s="244" t="s">
        <v>57</v>
      </c>
      <c r="J16" s="246">
        <f>IF(L8&gt;=L4,L8,L4)</f>
        <v>1424.4</v>
      </c>
      <c r="K16" s="242">
        <v>7.8</v>
      </c>
      <c r="L16" s="253">
        <f>J16*K16%</f>
        <v>111.1032</v>
      </c>
    </row>
    <row r="17" spans="1:14" ht="16.5" customHeight="1" thickBot="1" x14ac:dyDescent="0.25">
      <c r="A17" s="38">
        <v>24</v>
      </c>
      <c r="B17" s="46">
        <f t="shared" si="3"/>
        <v>1873.3696028444442</v>
      </c>
      <c r="C17" s="186">
        <f t="shared" si="4"/>
        <v>1232.2285714285713</v>
      </c>
      <c r="D17" s="128">
        <f t="shared" si="0"/>
        <v>602.28832731448881</v>
      </c>
      <c r="E17" s="38">
        <v>24</v>
      </c>
      <c r="F17" s="46">
        <f t="shared" si="1"/>
        <v>2435.3803718222225</v>
      </c>
      <c r="G17" s="46">
        <f t="shared" si="2"/>
        <v>782.97478954084454</v>
      </c>
      <c r="I17" s="245"/>
      <c r="J17" s="247"/>
      <c r="K17" s="243">
        <v>0.2</v>
      </c>
      <c r="L17" s="254"/>
    </row>
    <row r="18" spans="1:14" ht="16.5" customHeight="1" thickBot="1" x14ac:dyDescent="0.25">
      <c r="A18" s="38">
        <v>23</v>
      </c>
      <c r="B18" s="46">
        <f t="shared" si="3"/>
        <v>1795.3125360592594</v>
      </c>
      <c r="C18" s="186">
        <f t="shared" si="4"/>
        <v>1180.8857142857144</v>
      </c>
      <c r="D18" s="128">
        <f t="shared" si="0"/>
        <v>577.19298034305189</v>
      </c>
      <c r="E18" s="38">
        <v>23</v>
      </c>
      <c r="F18" s="46">
        <f t="shared" si="1"/>
        <v>2333.9061896629632</v>
      </c>
      <c r="G18" s="46">
        <f t="shared" si="2"/>
        <v>750.35083997664265</v>
      </c>
      <c r="I18" s="251" t="s">
        <v>61</v>
      </c>
      <c r="J18" s="252"/>
      <c r="K18" s="131">
        <f>(K14+K16)</f>
        <v>32.15</v>
      </c>
      <c r="L18" s="127">
        <f>SUM(L14:L17)</f>
        <v>595.49775</v>
      </c>
    </row>
    <row r="19" spans="1:14" ht="16.5" customHeight="1" x14ac:dyDescent="0.2">
      <c r="A19" s="38">
        <v>22</v>
      </c>
      <c r="B19" s="46">
        <f t="shared" si="3"/>
        <v>1717.2554692740741</v>
      </c>
      <c r="C19" s="186">
        <f t="shared" si="4"/>
        <v>1129.542857142857</v>
      </c>
      <c r="D19" s="128">
        <f t="shared" si="0"/>
        <v>552.09763337161485</v>
      </c>
      <c r="E19" s="38">
        <v>22</v>
      </c>
      <c r="F19" s="46">
        <f t="shared" si="1"/>
        <v>2232.432007503704</v>
      </c>
      <c r="G19" s="46">
        <f t="shared" si="2"/>
        <v>717.72689041244087</v>
      </c>
      <c r="I19" s="123"/>
      <c r="J19" s="124"/>
      <c r="K19" s="125"/>
      <c r="L19" s="126"/>
    </row>
    <row r="20" spans="1:14" ht="16.5" customHeight="1" x14ac:dyDescent="0.2">
      <c r="A20" s="38">
        <v>21</v>
      </c>
      <c r="B20" s="46">
        <f t="shared" si="3"/>
        <v>1639.1984024888889</v>
      </c>
      <c r="C20" s="186">
        <f t="shared" si="4"/>
        <v>1078.2</v>
      </c>
      <c r="D20" s="128">
        <f t="shared" si="0"/>
        <v>527.00228640017781</v>
      </c>
      <c r="E20" s="38">
        <v>21</v>
      </c>
      <c r="F20" s="46">
        <f t="shared" si="1"/>
        <v>2130.9578253444447</v>
      </c>
      <c r="G20" s="46">
        <f t="shared" si="2"/>
        <v>685.10294084823897</v>
      </c>
      <c r="I20" s="250" t="s">
        <v>76</v>
      </c>
      <c r="J20" s="250"/>
      <c r="K20" s="250"/>
      <c r="L20" s="250"/>
      <c r="M20" s="250"/>
      <c r="N20" s="144"/>
    </row>
    <row r="21" spans="1:14" ht="16.5" customHeight="1" x14ac:dyDescent="0.2">
      <c r="A21" s="38">
        <v>20</v>
      </c>
      <c r="B21" s="46">
        <f t="shared" si="3"/>
        <v>1561.1413357037038</v>
      </c>
      <c r="C21" s="186">
        <f t="shared" si="4"/>
        <v>1026.8571428571429</v>
      </c>
      <c r="D21" s="128">
        <f t="shared" si="0"/>
        <v>501.90693942874077</v>
      </c>
      <c r="E21" s="38">
        <v>20</v>
      </c>
      <c r="F21" s="46">
        <f t="shared" si="1"/>
        <v>2029.4836431851852</v>
      </c>
      <c r="G21" s="46">
        <f t="shared" si="2"/>
        <v>652.47899128403708</v>
      </c>
      <c r="I21" s="250"/>
      <c r="J21" s="250"/>
      <c r="K21" s="250"/>
      <c r="L21" s="250"/>
      <c r="M21" s="250"/>
      <c r="N21" s="144"/>
    </row>
    <row r="22" spans="1:14" ht="16.5" customHeight="1" thickBot="1" x14ac:dyDescent="0.25">
      <c r="A22" s="38">
        <v>19</v>
      </c>
      <c r="B22" s="46">
        <f t="shared" si="3"/>
        <v>1483.0842689185185</v>
      </c>
      <c r="C22" s="186">
        <f t="shared" si="4"/>
        <v>975.51428571428573</v>
      </c>
      <c r="D22" s="128">
        <f t="shared" si="0"/>
        <v>476.81159245730373</v>
      </c>
      <c r="E22" s="38">
        <v>19</v>
      </c>
      <c r="F22" s="46">
        <f t="shared" si="1"/>
        <v>1928.0094610259259</v>
      </c>
      <c r="G22" s="46">
        <f t="shared" si="2"/>
        <v>619.85504171983519</v>
      </c>
    </row>
    <row r="23" spans="1:14" ht="16.5" customHeight="1" x14ac:dyDescent="0.2">
      <c r="A23" s="38">
        <v>18</v>
      </c>
      <c r="B23" s="46">
        <f t="shared" si="3"/>
        <v>1405.0272021333333</v>
      </c>
      <c r="C23" s="186">
        <f t="shared" si="4"/>
        <v>924.17142857142869</v>
      </c>
      <c r="D23" s="128">
        <f t="shared" si="0"/>
        <v>451.71624548586664</v>
      </c>
      <c r="E23" s="38">
        <v>18</v>
      </c>
      <c r="F23" s="46">
        <f t="shared" si="1"/>
        <v>1826.5352788666667</v>
      </c>
      <c r="G23" s="46">
        <f t="shared" si="2"/>
        <v>587.23109215563329</v>
      </c>
      <c r="I23" s="219" t="s">
        <v>62</v>
      </c>
      <c r="J23" s="219"/>
      <c r="K23" s="220"/>
      <c r="L23" s="267">
        <v>0</v>
      </c>
    </row>
    <row r="24" spans="1:14" ht="16.5" customHeight="1" thickBot="1" x14ac:dyDescent="0.25">
      <c r="A24" s="38">
        <v>17</v>
      </c>
      <c r="B24" s="46">
        <f t="shared" si="3"/>
        <v>1326.9701353481482</v>
      </c>
      <c r="C24" s="186">
        <f t="shared" si="4"/>
        <v>872.82857142857131</v>
      </c>
      <c r="D24" s="128">
        <f t="shared" si="0"/>
        <v>426.62089851442965</v>
      </c>
      <c r="E24" s="38">
        <v>17</v>
      </c>
      <c r="F24" s="46">
        <f t="shared" si="1"/>
        <v>1725.0610967074074</v>
      </c>
      <c r="G24" s="46">
        <f t="shared" si="2"/>
        <v>554.60714259143151</v>
      </c>
      <c r="I24" s="219"/>
      <c r="J24" s="219"/>
      <c r="K24" s="220"/>
      <c r="L24" s="268"/>
    </row>
    <row r="25" spans="1:14" ht="16.5" customHeight="1" thickBot="1" x14ac:dyDescent="0.25">
      <c r="A25" s="38">
        <v>16</v>
      </c>
      <c r="B25" s="46">
        <f t="shared" si="3"/>
        <v>1248.913068562963</v>
      </c>
      <c r="C25" s="186">
        <f t="shared" si="4"/>
        <v>821.48571428571427</v>
      </c>
      <c r="D25" s="128">
        <f t="shared" si="0"/>
        <v>401.52555154299262</v>
      </c>
      <c r="E25" s="38">
        <v>16</v>
      </c>
      <c r="F25" s="46">
        <f t="shared" si="1"/>
        <v>1623.5869145481483</v>
      </c>
      <c r="G25" s="46">
        <f t="shared" si="2"/>
        <v>521.98319302722973</v>
      </c>
    </row>
    <row r="26" spans="1:14" ht="16.5" customHeight="1" x14ac:dyDescent="0.2">
      <c r="A26" s="38">
        <v>15</v>
      </c>
      <c r="B26" s="46">
        <f t="shared" si="3"/>
        <v>1170.8560017777777</v>
      </c>
      <c r="C26" s="186">
        <f t="shared" si="4"/>
        <v>770.14285714285711</v>
      </c>
      <c r="D26" s="128">
        <f t="shared" si="0"/>
        <v>376.43020457155552</v>
      </c>
      <c r="E26" s="38">
        <v>15</v>
      </c>
      <c r="F26" s="46">
        <f t="shared" si="1"/>
        <v>1522.1127323888891</v>
      </c>
      <c r="G26" s="46">
        <f t="shared" si="2"/>
        <v>489.35924346302784</v>
      </c>
      <c r="I26" s="219" t="s">
        <v>67</v>
      </c>
      <c r="J26" s="219"/>
      <c r="K26" s="220"/>
      <c r="L26" s="217">
        <v>0</v>
      </c>
    </row>
    <row r="27" spans="1:14" ht="16.5" customHeight="1" thickBot="1" x14ac:dyDescent="0.25">
      <c r="A27" s="38">
        <v>14</v>
      </c>
      <c r="B27" s="46">
        <f t="shared" si="3"/>
        <v>1092.7989349925926</v>
      </c>
      <c r="C27" s="186">
        <f t="shared" si="4"/>
        <v>718.80000000000018</v>
      </c>
      <c r="D27" s="128">
        <f t="shared" si="0"/>
        <v>351.33485760011854</v>
      </c>
      <c r="E27" s="38">
        <v>14</v>
      </c>
      <c r="F27" s="46">
        <f t="shared" si="1"/>
        <v>1420.6385502296298</v>
      </c>
      <c r="G27" s="46">
        <f t="shared" si="2"/>
        <v>456.735293898826</v>
      </c>
      <c r="I27" s="219"/>
      <c r="J27" s="219"/>
      <c r="K27" s="220"/>
      <c r="L27" s="218"/>
    </row>
    <row r="28" spans="1:14" ht="16.5" customHeight="1" thickBot="1" x14ac:dyDescent="0.25">
      <c r="A28" s="38">
        <v>13</v>
      </c>
      <c r="B28" s="46">
        <f t="shared" si="3"/>
        <v>1014.7418682074074</v>
      </c>
      <c r="C28" s="186">
        <f t="shared" si="4"/>
        <v>667.45714285714291</v>
      </c>
      <c r="D28" s="128">
        <f t="shared" si="0"/>
        <v>326.2395106286815</v>
      </c>
      <c r="E28" s="38">
        <v>13</v>
      </c>
      <c r="F28" s="46">
        <f t="shared" si="1"/>
        <v>1319.1643680703703</v>
      </c>
      <c r="G28" s="46">
        <f t="shared" si="2"/>
        <v>424.11134433462405</v>
      </c>
    </row>
    <row r="29" spans="1:14" ht="16.5" customHeight="1" x14ac:dyDescent="0.2">
      <c r="A29" s="38">
        <v>12</v>
      </c>
      <c r="B29" s="46">
        <f t="shared" si="3"/>
        <v>936.68480142222211</v>
      </c>
      <c r="C29" s="186">
        <f t="shared" si="4"/>
        <v>616.11428571428564</v>
      </c>
      <c r="D29" s="128">
        <f t="shared" si="0"/>
        <v>301.14416365724441</v>
      </c>
      <c r="E29" s="38">
        <v>12</v>
      </c>
      <c r="F29" s="46">
        <f t="shared" si="1"/>
        <v>1217.6901859111113</v>
      </c>
      <c r="G29" s="46">
        <f t="shared" si="2"/>
        <v>391.48739477042227</v>
      </c>
      <c r="I29" s="221" t="s">
        <v>63</v>
      </c>
      <c r="J29" s="222"/>
      <c r="K29" s="222"/>
      <c r="L29" s="223"/>
    </row>
    <row r="30" spans="1:14" ht="16.5" customHeight="1" thickBot="1" x14ac:dyDescent="0.25">
      <c r="A30" s="38">
        <v>11</v>
      </c>
      <c r="B30" s="46">
        <f t="shared" si="3"/>
        <v>858.62773463703707</v>
      </c>
      <c r="C30" s="186">
        <f t="shared" si="4"/>
        <v>564.77142857142849</v>
      </c>
      <c r="D30" s="128">
        <f t="shared" si="0"/>
        <v>276.04881668580742</v>
      </c>
      <c r="E30" s="38">
        <v>11</v>
      </c>
      <c r="F30" s="46">
        <f t="shared" si="1"/>
        <v>1116.216003751852</v>
      </c>
      <c r="G30" s="46">
        <f t="shared" si="2"/>
        <v>358.86344520622043</v>
      </c>
      <c r="I30" s="224"/>
      <c r="J30" s="225"/>
      <c r="K30" s="225"/>
      <c r="L30" s="226"/>
    </row>
    <row r="31" spans="1:14" ht="16.5" customHeight="1" thickBot="1" x14ac:dyDescent="0.25">
      <c r="A31" s="38">
        <v>10</v>
      </c>
      <c r="B31" s="46">
        <f t="shared" si="3"/>
        <v>780.57066785185191</v>
      </c>
      <c r="C31" s="186">
        <f t="shared" si="4"/>
        <v>513.42857142857144</v>
      </c>
      <c r="D31" s="128">
        <f t="shared" si="0"/>
        <v>250.95346971437039</v>
      </c>
      <c r="E31" s="38">
        <v>10</v>
      </c>
      <c r="F31" s="46">
        <f t="shared" si="1"/>
        <v>1014.7418215925926</v>
      </c>
      <c r="G31" s="46">
        <f t="shared" si="2"/>
        <v>326.23949564201854</v>
      </c>
      <c r="I31" s="134" t="s">
        <v>68</v>
      </c>
      <c r="J31" s="132" t="s">
        <v>53</v>
      </c>
      <c r="K31" s="130" t="s">
        <v>69</v>
      </c>
      <c r="L31" s="116" t="s">
        <v>55</v>
      </c>
    </row>
    <row r="32" spans="1:14" ht="16.5" customHeight="1" x14ac:dyDescent="0.2">
      <c r="A32" s="38">
        <v>9</v>
      </c>
      <c r="B32" s="46">
        <f t="shared" si="3"/>
        <v>702.51360106666664</v>
      </c>
      <c r="C32" s="186">
        <f t="shared" si="4"/>
        <v>462.08571428571435</v>
      </c>
      <c r="D32" s="128">
        <f t="shared" si="0"/>
        <v>225.85812274293332</v>
      </c>
      <c r="E32" s="38">
        <v>9</v>
      </c>
      <c r="F32" s="46">
        <f t="shared" si="1"/>
        <v>913.26763943333333</v>
      </c>
      <c r="G32" s="46">
        <f t="shared" si="2"/>
        <v>293.61554607781665</v>
      </c>
      <c r="I32" s="260">
        <f>((L23/37.5*7.5*5)/7)*30*$D$43</f>
        <v>0</v>
      </c>
      <c r="J32" s="262">
        <f>IF(L26&lt;I32,I32,L26)</f>
        <v>0</v>
      </c>
      <c r="K32" s="264">
        <v>32.15</v>
      </c>
      <c r="L32" s="253">
        <f>J32*K32%</f>
        <v>0</v>
      </c>
    </row>
    <row r="33" spans="1:14" ht="16.5" customHeight="1" thickBot="1" x14ac:dyDescent="0.25">
      <c r="A33" s="38">
        <v>8</v>
      </c>
      <c r="B33" s="46">
        <f t="shared" si="3"/>
        <v>624.45653428148148</v>
      </c>
      <c r="C33" s="186">
        <f t="shared" si="4"/>
        <v>410.74285714285713</v>
      </c>
      <c r="D33" s="128">
        <f t="shared" si="0"/>
        <v>200.76277577149631</v>
      </c>
      <c r="E33" s="38">
        <v>8</v>
      </c>
      <c r="F33" s="46">
        <f t="shared" si="1"/>
        <v>811.79345727407417</v>
      </c>
      <c r="G33" s="46">
        <f t="shared" si="2"/>
        <v>260.99159651361487</v>
      </c>
      <c r="I33" s="261"/>
      <c r="J33" s="263"/>
      <c r="K33" s="265"/>
      <c r="L33" s="266"/>
    </row>
    <row r="34" spans="1:14" ht="16.5" customHeight="1" thickBot="1" x14ac:dyDescent="0.25">
      <c r="A34" s="38">
        <v>7</v>
      </c>
      <c r="B34" s="46">
        <f t="shared" si="3"/>
        <v>546.39946749629632</v>
      </c>
      <c r="C34" s="186">
        <f t="shared" si="4"/>
        <v>359.40000000000009</v>
      </c>
      <c r="D34" s="128">
        <f t="shared" si="0"/>
        <v>175.66742880005927</v>
      </c>
      <c r="E34" s="38">
        <v>7</v>
      </c>
      <c r="F34" s="46">
        <f t="shared" si="1"/>
        <v>710.3192751148149</v>
      </c>
      <c r="G34" s="46">
        <f t="shared" si="2"/>
        <v>228.367646949413</v>
      </c>
      <c r="I34" s="255" t="s">
        <v>64</v>
      </c>
      <c r="J34" s="256"/>
      <c r="K34" s="257"/>
      <c r="L34" s="127">
        <f>SUM(L32)</f>
        <v>0</v>
      </c>
    </row>
    <row r="35" spans="1:14" ht="16.5" customHeight="1" x14ac:dyDescent="0.2">
      <c r="A35" s="38">
        <v>6</v>
      </c>
      <c r="B35" s="46">
        <f t="shared" si="3"/>
        <v>468.34240071111105</v>
      </c>
      <c r="C35" s="186">
        <f t="shared" si="4"/>
        <v>308.05714285714282</v>
      </c>
      <c r="D35" s="128">
        <f t="shared" si="0"/>
        <v>150.5720818286222</v>
      </c>
      <c r="E35" s="38">
        <v>6</v>
      </c>
      <c r="F35" s="46">
        <f t="shared" si="1"/>
        <v>608.84509295555563</v>
      </c>
      <c r="G35" s="46">
        <f t="shared" si="2"/>
        <v>195.74369738521114</v>
      </c>
      <c r="N35" s="133"/>
    </row>
    <row r="36" spans="1:14" ht="16.5" customHeight="1" x14ac:dyDescent="0.2">
      <c r="A36" s="38">
        <v>5</v>
      </c>
      <c r="B36" s="46">
        <f t="shared" si="3"/>
        <v>390.28533392592595</v>
      </c>
      <c r="C36" s="186">
        <f t="shared" si="4"/>
        <v>256.71428571428572</v>
      </c>
      <c r="D36" s="128">
        <f t="shared" si="0"/>
        <v>125.47673485718519</v>
      </c>
      <c r="E36" s="38">
        <v>5</v>
      </c>
      <c r="F36" s="46">
        <f t="shared" si="1"/>
        <v>507.3709107962963</v>
      </c>
      <c r="G36" s="46">
        <f t="shared" si="2"/>
        <v>163.11974782100927</v>
      </c>
      <c r="I36" s="258" t="s">
        <v>120</v>
      </c>
      <c r="J36" s="258"/>
      <c r="K36" s="258"/>
      <c r="L36" s="258"/>
      <c r="M36" s="259" t="s">
        <v>98</v>
      </c>
      <c r="N36" s="133"/>
    </row>
    <row r="37" spans="1:14" ht="16.5" customHeight="1" x14ac:dyDescent="0.2">
      <c r="A37" s="38">
        <v>4</v>
      </c>
      <c r="B37" s="46">
        <f t="shared" si="3"/>
        <v>312.22826714074074</v>
      </c>
      <c r="C37" s="186">
        <f t="shared" si="4"/>
        <v>205.37142857142857</v>
      </c>
      <c r="D37" s="128">
        <f t="shared" si="0"/>
        <v>100.38138788574815</v>
      </c>
      <c r="E37" s="38">
        <v>4</v>
      </c>
      <c r="F37" s="46">
        <f t="shared" si="1"/>
        <v>405.89672863703709</v>
      </c>
      <c r="G37" s="46">
        <f t="shared" si="2"/>
        <v>130.49579825680743</v>
      </c>
      <c r="I37" s="258"/>
      <c r="J37" s="258"/>
      <c r="K37" s="258"/>
      <c r="L37" s="258"/>
      <c r="M37" s="259"/>
      <c r="N37" s="133"/>
    </row>
    <row r="38" spans="1:14" ht="16.5" customHeight="1" x14ac:dyDescent="0.2">
      <c r="A38" s="38">
        <v>3</v>
      </c>
      <c r="B38" s="46">
        <f t="shared" si="3"/>
        <v>234.17120035555553</v>
      </c>
      <c r="C38" s="186">
        <f t="shared" si="4"/>
        <v>154.02857142857141</v>
      </c>
      <c r="D38" s="128">
        <f t="shared" si="0"/>
        <v>75.286040914311101</v>
      </c>
      <c r="E38" s="38">
        <v>3</v>
      </c>
      <c r="F38" s="46">
        <f t="shared" si="1"/>
        <v>304.42254647777781</v>
      </c>
      <c r="G38" s="46">
        <f t="shared" si="2"/>
        <v>97.871848692605568</v>
      </c>
    </row>
    <row r="39" spans="1:14" ht="16.5" customHeight="1" x14ac:dyDescent="0.2">
      <c r="A39" s="38">
        <v>2</v>
      </c>
      <c r="B39" s="46">
        <f t="shared" si="3"/>
        <v>156.11413357037037</v>
      </c>
      <c r="C39" s="186">
        <f t="shared" si="4"/>
        <v>102.68571428571428</v>
      </c>
      <c r="D39" s="128">
        <f t="shared" si="0"/>
        <v>50.190693942874077</v>
      </c>
      <c r="E39" s="38">
        <v>2</v>
      </c>
      <c r="F39" s="46">
        <f t="shared" si="1"/>
        <v>202.94836431851854</v>
      </c>
      <c r="G39" s="46">
        <f t="shared" si="2"/>
        <v>65.247899128403716</v>
      </c>
    </row>
    <row r="40" spans="1:14" ht="16.5" customHeight="1" x14ac:dyDescent="0.2">
      <c r="A40" s="39">
        <v>1</v>
      </c>
      <c r="B40" s="195">
        <f t="shared" si="3"/>
        <v>78.057066785185185</v>
      </c>
      <c r="C40" s="196">
        <f t="shared" si="4"/>
        <v>51.342857142857142</v>
      </c>
      <c r="D40" s="197">
        <f t="shared" si="0"/>
        <v>25.095346971437039</v>
      </c>
      <c r="E40" s="39">
        <v>1</v>
      </c>
      <c r="F40" s="195">
        <f t="shared" si="1"/>
        <v>101.47418215925927</v>
      </c>
      <c r="G40" s="195">
        <f t="shared" si="2"/>
        <v>32.623949564201858</v>
      </c>
    </row>
    <row r="41" spans="1:14" x14ac:dyDescent="0.2">
      <c r="D41" s="194"/>
    </row>
    <row r="42" spans="1:14" ht="13.5" hidden="1" thickBot="1" x14ac:dyDescent="0.25"/>
    <row r="43" spans="1:14" ht="39" hidden="1" thickBot="1" x14ac:dyDescent="0.25">
      <c r="B43" s="191" t="s">
        <v>13</v>
      </c>
      <c r="C43" s="192"/>
      <c r="D43" s="193">
        <v>11.98</v>
      </c>
      <c r="E43" s="17"/>
    </row>
  </sheetData>
  <sheetProtection algorithmName="SHA-512" hashValue="LjbvFKxWS7xck3ENFbMWp7XYvMvzpwB/TJxTtf6Ql2DLSPBRdFOrBrUYeXhr8Y5rI7+llucjBFqgGeBO7gJNPw==" saltValue="rqNooIn9OITE5nkgU1CuiA==" spinCount="100000" sheet="1" objects="1" scenarios="1"/>
  <protectedRanges>
    <protectedRange sqref="M36" name="CALCULO RC"/>
    <protectedRange sqref="L8" name="RET TC_1"/>
    <protectedRange sqref="L26" name="RET TC_2"/>
    <protectedRange sqref="L23" name="DED_1"/>
  </protectedRanges>
  <mergeCells count="36">
    <mergeCell ref="I26:K27"/>
    <mergeCell ref="L23:L24"/>
    <mergeCell ref="I23:K24"/>
    <mergeCell ref="L26:L27"/>
    <mergeCell ref="I29:L30"/>
    <mergeCell ref="I34:K34"/>
    <mergeCell ref="I36:L37"/>
    <mergeCell ref="M36:M37"/>
    <mergeCell ref="I32:I33"/>
    <mergeCell ref="J32:J33"/>
    <mergeCell ref="K32:K33"/>
    <mergeCell ref="L32:L33"/>
    <mergeCell ref="K16:K17"/>
    <mergeCell ref="I16:I17"/>
    <mergeCell ref="J16:J17"/>
    <mergeCell ref="L14:L15"/>
    <mergeCell ref="I20:M21"/>
    <mergeCell ref="I18:J18"/>
    <mergeCell ref="J14:J15"/>
    <mergeCell ref="K14:K15"/>
    <mergeCell ref="L16:L17"/>
    <mergeCell ref="B2:D2"/>
    <mergeCell ref="F2:G2"/>
    <mergeCell ref="L4:L5"/>
    <mergeCell ref="M4:M5"/>
    <mergeCell ref="A1:G1"/>
    <mergeCell ref="I2:K2"/>
    <mergeCell ref="I4:I5"/>
    <mergeCell ref="J4:J5"/>
    <mergeCell ref="K4:K5"/>
    <mergeCell ref="I1:M1"/>
    <mergeCell ref="L8:L9"/>
    <mergeCell ref="I8:K9"/>
    <mergeCell ref="I11:L12"/>
    <mergeCell ref="I14:I15"/>
    <mergeCell ref="L2:M2"/>
  </mergeCells>
  <phoneticPr fontId="3" type="noConversion"/>
  <hyperlinks>
    <hyperlink ref="M36:M37" r:id="rId1" display="CALCULO RC E INDEMNIZACION" xr:uid="{468CC840-2BB4-41C5-9636-6417891AB68F}"/>
  </hyperlinks>
  <pageMargins left="0.94488188976377963" right="0.86614173228346458" top="9.46969696969697E-3" bottom="0.39370078740157483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zoomScale="93" zoomScaleNormal="93" workbookViewId="0">
      <selection activeCell="P24" sqref="P24"/>
    </sheetView>
  </sheetViews>
  <sheetFormatPr baseColWidth="10" defaultColWidth="11.5703125" defaultRowHeight="12.75" x14ac:dyDescent="0.2"/>
  <cols>
    <col min="1" max="1" width="18.42578125" style="33" customWidth="1"/>
    <col min="2" max="2" width="24.7109375" style="50" customWidth="1"/>
    <col min="3" max="3" width="16.7109375" style="51" hidden="1" customWidth="1"/>
    <col min="4" max="4" width="18.42578125" style="52" customWidth="1"/>
    <col min="5" max="5" width="18.42578125" style="8" customWidth="1"/>
    <col min="6" max="6" width="24.7109375" style="49" customWidth="1"/>
    <col min="7" max="7" width="18.42578125" style="49" customWidth="1"/>
    <col min="8" max="8" width="7.7109375" style="8" customWidth="1"/>
    <col min="9" max="9" width="19.28515625" style="19" customWidth="1"/>
    <col min="10" max="10" width="17" style="8" bestFit="1" customWidth="1"/>
    <col min="11" max="11" width="19.7109375" style="8" bestFit="1" customWidth="1"/>
    <col min="12" max="12" width="16.28515625" style="8" bestFit="1" customWidth="1"/>
    <col min="13" max="13" width="16.5703125" style="8" customWidth="1"/>
    <col min="14" max="16384" width="11.5703125" style="8"/>
  </cols>
  <sheetData>
    <row r="1" spans="1:14" ht="45" customHeight="1" x14ac:dyDescent="0.2">
      <c r="A1" s="236" t="s">
        <v>114</v>
      </c>
      <c r="B1" s="237"/>
      <c r="C1" s="237"/>
      <c r="D1" s="237"/>
      <c r="E1" s="237"/>
      <c r="F1" s="237"/>
      <c r="G1" s="237"/>
      <c r="I1" s="239" t="s">
        <v>119</v>
      </c>
      <c r="J1" s="240"/>
      <c r="K1" s="240"/>
      <c r="L1" s="240"/>
      <c r="M1" s="241"/>
    </row>
    <row r="2" spans="1:14" s="47" customFormat="1" ht="24" customHeight="1" x14ac:dyDescent="0.2">
      <c r="A2" s="48"/>
      <c r="B2" s="269" t="s">
        <v>45</v>
      </c>
      <c r="C2" s="269"/>
      <c r="D2" s="270"/>
      <c r="E2" s="57"/>
      <c r="F2" s="271" t="s">
        <v>46</v>
      </c>
      <c r="G2" s="272"/>
      <c r="I2" s="229" t="s">
        <v>48</v>
      </c>
      <c r="J2" s="229"/>
      <c r="K2" s="229"/>
      <c r="L2" s="229" t="s">
        <v>52</v>
      </c>
      <c r="M2" s="229"/>
      <c r="N2" s="36"/>
    </row>
    <row r="3" spans="1:14" s="27" customFormat="1" ht="38.25" x14ac:dyDescent="0.2">
      <c r="A3" s="40" t="s">
        <v>43</v>
      </c>
      <c r="B3" s="61" t="s">
        <v>44</v>
      </c>
      <c r="C3" s="62" t="s">
        <v>14</v>
      </c>
      <c r="D3" s="63" t="s">
        <v>116</v>
      </c>
      <c r="E3" s="40" t="s">
        <v>43</v>
      </c>
      <c r="F3" s="64" t="s">
        <v>44</v>
      </c>
      <c r="G3" s="63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58">
        <v>37.5</v>
      </c>
      <c r="B4" s="59">
        <f>PARAMETROS!B23</f>
        <v>2404.4364322222223</v>
      </c>
      <c r="C4" s="60"/>
      <c r="D4" s="59"/>
      <c r="E4" s="58">
        <v>37.5</v>
      </c>
      <c r="F4" s="59">
        <f>PARAMETROS!C23</f>
        <v>3125.7663130555557</v>
      </c>
      <c r="G4" s="59">
        <f>IF(F4&gt;=$K$4,$K$4*$K$18%,F4*$K$18%)</f>
        <v>1004.9338696473611</v>
      </c>
      <c r="I4" s="238">
        <v>1</v>
      </c>
      <c r="J4" s="234">
        <v>1989.3</v>
      </c>
      <c r="K4" s="234">
        <v>5101.2</v>
      </c>
      <c r="L4" s="232">
        <v>1424.4</v>
      </c>
      <c r="M4" s="234">
        <v>5101.2</v>
      </c>
    </row>
    <row r="5" spans="1:14" ht="15" customHeight="1" x14ac:dyDescent="0.2">
      <c r="A5" s="38">
        <v>36</v>
      </c>
      <c r="B5" s="53">
        <f>PRODUCT(B$4,A5)/A$4</f>
        <v>2308.2589749333333</v>
      </c>
      <c r="C5" s="54">
        <f t="shared" ref="C5:C40" si="0">(A5/$A$4*7.5*5)/7*30*$C$43</f>
        <v>1848.3428571428574</v>
      </c>
      <c r="D5" s="53">
        <f>IF(B5&lt;C5,C5*$K$18%,B5*$K$18%)</f>
        <v>742.10526044106666</v>
      </c>
      <c r="E5" s="38">
        <v>36</v>
      </c>
      <c r="F5" s="53">
        <f>PRODUCT(F$4,E5)/E$4</f>
        <v>3000.7356605333334</v>
      </c>
      <c r="G5" s="59">
        <f t="shared" ref="G5:G40" si="1">IF(F5&gt;=$K$4,$K$4*$K$18%,F5*$K$18%)</f>
        <v>964.73651486146673</v>
      </c>
      <c r="I5" s="238"/>
      <c r="J5" s="235"/>
      <c r="K5" s="235"/>
      <c r="L5" s="233"/>
      <c r="M5" s="235"/>
    </row>
    <row r="6" spans="1:14" ht="15" customHeight="1" x14ac:dyDescent="0.2">
      <c r="A6" s="38">
        <v>35</v>
      </c>
      <c r="B6" s="53">
        <f>PRODUCT(B$4,A6)/A$4</f>
        <v>2244.1406700740745</v>
      </c>
      <c r="C6" s="54">
        <f t="shared" si="0"/>
        <v>1797</v>
      </c>
      <c r="D6" s="53">
        <f t="shared" ref="D6:D40" si="2">IF(B6&lt;C6,C6*$K$18%,B6*$K$18%)</f>
        <v>721.49122542881491</v>
      </c>
      <c r="E6" s="38">
        <v>35</v>
      </c>
      <c r="F6" s="53">
        <f>PRODUCT(F$4,E6)/E$4</f>
        <v>2917.3818921851853</v>
      </c>
      <c r="G6" s="59">
        <f t="shared" si="1"/>
        <v>937.9382783375371</v>
      </c>
      <c r="I6" s="35"/>
      <c r="L6" s="112"/>
    </row>
    <row r="7" spans="1:14" ht="15" customHeight="1" thickBot="1" x14ac:dyDescent="0.25">
      <c r="A7" s="38">
        <v>34</v>
      </c>
      <c r="B7" s="53">
        <f t="shared" ref="B7:B40" si="3">PRODUCT(B$4,A7)/A$4</f>
        <v>2180.0223652148152</v>
      </c>
      <c r="C7" s="54">
        <f t="shared" si="0"/>
        <v>1745.6571428571426</v>
      </c>
      <c r="D7" s="53">
        <f t="shared" si="2"/>
        <v>700.87719041656305</v>
      </c>
      <c r="E7" s="38">
        <v>34</v>
      </c>
      <c r="F7" s="53">
        <f t="shared" ref="F7:F40" si="4">PRODUCT(F$4,E7)/E$4</f>
        <v>2834.0281238370371</v>
      </c>
      <c r="G7" s="59">
        <f t="shared" si="1"/>
        <v>911.14004181360747</v>
      </c>
      <c r="I7" s="35"/>
      <c r="J7" s="19"/>
      <c r="L7" s="112"/>
    </row>
    <row r="8" spans="1:14" ht="15" customHeight="1" x14ac:dyDescent="0.2">
      <c r="A8" s="38">
        <v>33</v>
      </c>
      <c r="B8" s="53">
        <f t="shared" si="3"/>
        <v>2115.9040603555554</v>
      </c>
      <c r="C8" s="54">
        <f t="shared" si="0"/>
        <v>1694.3142857142859</v>
      </c>
      <c r="D8" s="53">
        <f t="shared" si="2"/>
        <v>680.26315540431108</v>
      </c>
      <c r="E8" s="38">
        <v>33</v>
      </c>
      <c r="F8" s="53">
        <f t="shared" si="4"/>
        <v>2750.674355488889</v>
      </c>
      <c r="G8" s="59">
        <f t="shared" si="1"/>
        <v>884.34180528967784</v>
      </c>
      <c r="I8" s="219" t="s">
        <v>89</v>
      </c>
      <c r="J8" s="219"/>
      <c r="K8" s="220"/>
      <c r="L8" s="217">
        <v>0</v>
      </c>
    </row>
    <row r="9" spans="1:14" ht="15" customHeight="1" thickBot="1" x14ac:dyDescent="0.25">
      <c r="A9" s="38">
        <v>32</v>
      </c>
      <c r="B9" s="53">
        <f t="shared" si="3"/>
        <v>2051.7857554962961</v>
      </c>
      <c r="C9" s="54">
        <f t="shared" si="0"/>
        <v>1642.9714285714285</v>
      </c>
      <c r="D9" s="53">
        <f t="shared" si="2"/>
        <v>659.64912039205922</v>
      </c>
      <c r="E9" s="38">
        <v>32</v>
      </c>
      <c r="F9" s="53">
        <f t="shared" si="4"/>
        <v>2667.3205871407408</v>
      </c>
      <c r="G9" s="59">
        <f t="shared" si="1"/>
        <v>857.5435687657482</v>
      </c>
      <c r="I9" s="219"/>
      <c r="J9" s="219"/>
      <c r="K9" s="220"/>
      <c r="L9" s="218"/>
    </row>
    <row r="10" spans="1:14" ht="15" customHeight="1" thickBot="1" x14ac:dyDescent="0.25">
      <c r="A10" s="38">
        <v>31</v>
      </c>
      <c r="B10" s="53">
        <f t="shared" si="3"/>
        <v>1987.6674506370371</v>
      </c>
      <c r="C10" s="54">
        <f t="shared" si="0"/>
        <v>1591.6285714285716</v>
      </c>
      <c r="D10" s="53">
        <f t="shared" si="2"/>
        <v>639.03508537980747</v>
      </c>
      <c r="E10" s="38">
        <v>31</v>
      </c>
      <c r="F10" s="53">
        <f t="shared" si="4"/>
        <v>2583.9668187925927</v>
      </c>
      <c r="G10" s="59">
        <f t="shared" si="1"/>
        <v>830.74533224181857</v>
      </c>
      <c r="I10" s="117"/>
      <c r="J10" s="118"/>
      <c r="K10" s="119"/>
      <c r="L10" s="120"/>
    </row>
    <row r="11" spans="1:14" ht="15" customHeight="1" x14ac:dyDescent="0.2">
      <c r="A11" s="38">
        <v>30</v>
      </c>
      <c r="B11" s="53">
        <f t="shared" si="3"/>
        <v>1923.5491457777778</v>
      </c>
      <c r="C11" s="54">
        <f t="shared" si="0"/>
        <v>1540.2857142857142</v>
      </c>
      <c r="D11" s="53">
        <f t="shared" si="2"/>
        <v>618.42105036755561</v>
      </c>
      <c r="E11" s="38">
        <v>30</v>
      </c>
      <c r="F11" s="53">
        <f t="shared" si="4"/>
        <v>2500.6130504444445</v>
      </c>
      <c r="G11" s="59">
        <f t="shared" si="1"/>
        <v>803.94709571788894</v>
      </c>
      <c r="I11" s="221" t="s">
        <v>60</v>
      </c>
      <c r="J11" s="222"/>
      <c r="K11" s="222"/>
      <c r="L11" s="223"/>
    </row>
    <row r="12" spans="1:14" ht="15" customHeight="1" thickBot="1" x14ac:dyDescent="0.25">
      <c r="A12" s="38">
        <v>29</v>
      </c>
      <c r="B12" s="53">
        <f t="shared" si="3"/>
        <v>1859.4308409185185</v>
      </c>
      <c r="C12" s="54">
        <f t="shared" si="0"/>
        <v>1488.9428571428573</v>
      </c>
      <c r="D12" s="53">
        <f t="shared" si="2"/>
        <v>597.80701535530375</v>
      </c>
      <c r="E12" s="38">
        <v>29</v>
      </c>
      <c r="F12" s="53">
        <f t="shared" si="4"/>
        <v>2417.2592820962964</v>
      </c>
      <c r="G12" s="59">
        <f t="shared" si="1"/>
        <v>777.14885919395931</v>
      </c>
      <c r="I12" s="224"/>
      <c r="J12" s="225"/>
      <c r="K12" s="225"/>
      <c r="L12" s="226"/>
    </row>
    <row r="13" spans="1:14" ht="15" customHeight="1" thickBot="1" x14ac:dyDescent="0.25">
      <c r="A13" s="38">
        <v>28</v>
      </c>
      <c r="B13" s="53">
        <f t="shared" si="3"/>
        <v>1795.3125360592594</v>
      </c>
      <c r="C13" s="54">
        <f t="shared" si="0"/>
        <v>1437.6000000000004</v>
      </c>
      <c r="D13" s="53">
        <f t="shared" si="2"/>
        <v>577.19298034305189</v>
      </c>
      <c r="E13" s="38">
        <v>28</v>
      </c>
      <c r="F13" s="53">
        <f t="shared" si="4"/>
        <v>2333.9055137481482</v>
      </c>
      <c r="G13" s="59">
        <f t="shared" si="1"/>
        <v>750.35062267002968</v>
      </c>
      <c r="I13" s="114"/>
      <c r="J13" s="115" t="s">
        <v>53</v>
      </c>
      <c r="K13" s="130" t="s">
        <v>54</v>
      </c>
      <c r="L13" s="116" t="s">
        <v>55</v>
      </c>
    </row>
    <row r="14" spans="1:14" ht="15" customHeight="1" x14ac:dyDescent="0.2">
      <c r="A14" s="38">
        <v>27</v>
      </c>
      <c r="B14" s="53">
        <f t="shared" si="3"/>
        <v>1731.1942312000001</v>
      </c>
      <c r="C14" s="54">
        <f t="shared" si="0"/>
        <v>1386.2571428571428</v>
      </c>
      <c r="D14" s="53">
        <f t="shared" si="2"/>
        <v>556.57894533080002</v>
      </c>
      <c r="E14" s="38">
        <v>27</v>
      </c>
      <c r="F14" s="53">
        <f t="shared" si="4"/>
        <v>2250.5517454000001</v>
      </c>
      <c r="G14" s="59">
        <f t="shared" si="1"/>
        <v>723.55238614610005</v>
      </c>
      <c r="I14" s="227" t="s">
        <v>56</v>
      </c>
      <c r="J14" s="246">
        <f>IF(L8&gt;=J4,L8,J4)</f>
        <v>1989.3</v>
      </c>
      <c r="K14" s="242">
        <v>24.35</v>
      </c>
      <c r="L14" s="248">
        <f>J14*K14%</f>
        <v>484.39455000000004</v>
      </c>
    </row>
    <row r="15" spans="1:14" ht="15" customHeight="1" thickBot="1" x14ac:dyDescent="0.25">
      <c r="A15" s="38">
        <v>26</v>
      </c>
      <c r="B15" s="53">
        <f t="shared" si="3"/>
        <v>1667.0759263407408</v>
      </c>
      <c r="C15" s="54">
        <f t="shared" si="0"/>
        <v>1334.9142857142858</v>
      </c>
      <c r="D15" s="53">
        <f t="shared" si="2"/>
        <v>535.96491031854816</v>
      </c>
      <c r="E15" s="38">
        <v>26</v>
      </c>
      <c r="F15" s="53">
        <f t="shared" si="4"/>
        <v>2167.1979770518519</v>
      </c>
      <c r="G15" s="59">
        <f t="shared" si="1"/>
        <v>696.75414962217042</v>
      </c>
      <c r="I15" s="228"/>
      <c r="J15" s="247"/>
      <c r="K15" s="243"/>
      <c r="L15" s="249"/>
    </row>
    <row r="16" spans="1:14" ht="15" customHeight="1" x14ac:dyDescent="0.2">
      <c r="A16" s="38">
        <v>25</v>
      </c>
      <c r="B16" s="53">
        <f t="shared" si="3"/>
        <v>1602.9576214814815</v>
      </c>
      <c r="C16" s="54">
        <f t="shared" si="0"/>
        <v>1283.5714285714287</v>
      </c>
      <c r="D16" s="53">
        <f t="shared" si="2"/>
        <v>515.3508753062963</v>
      </c>
      <c r="E16" s="38">
        <v>25</v>
      </c>
      <c r="F16" s="53">
        <f t="shared" si="4"/>
        <v>2083.8442087037038</v>
      </c>
      <c r="G16" s="59">
        <f t="shared" si="1"/>
        <v>669.95591309824079</v>
      </c>
      <c r="I16" s="244" t="s">
        <v>57</v>
      </c>
      <c r="J16" s="246">
        <f>IF(L8&gt;=L4,L8,L4)</f>
        <v>1424.4</v>
      </c>
      <c r="K16" s="242">
        <v>7.8</v>
      </c>
      <c r="L16" s="253">
        <f>J16*K16%</f>
        <v>111.1032</v>
      </c>
    </row>
    <row r="17" spans="1:14" ht="15" customHeight="1" thickBot="1" x14ac:dyDescent="0.25">
      <c r="A17" s="38">
        <v>24</v>
      </c>
      <c r="B17" s="53">
        <f t="shared" si="3"/>
        <v>1538.8393166222222</v>
      </c>
      <c r="C17" s="54">
        <f t="shared" si="0"/>
        <v>1232.2285714285713</v>
      </c>
      <c r="D17" s="53">
        <f t="shared" si="2"/>
        <v>494.73684029404444</v>
      </c>
      <c r="E17" s="38">
        <v>24</v>
      </c>
      <c r="F17" s="53">
        <f t="shared" si="4"/>
        <v>2000.4904403555556</v>
      </c>
      <c r="G17" s="59">
        <f t="shared" si="1"/>
        <v>643.15767657431115</v>
      </c>
      <c r="I17" s="245"/>
      <c r="J17" s="247"/>
      <c r="K17" s="243">
        <v>0.2</v>
      </c>
      <c r="L17" s="254"/>
    </row>
    <row r="18" spans="1:14" ht="15" customHeight="1" thickBot="1" x14ac:dyDescent="0.25">
      <c r="A18" s="38">
        <v>23</v>
      </c>
      <c r="B18" s="53">
        <f t="shared" si="3"/>
        <v>1474.7210117629629</v>
      </c>
      <c r="C18" s="54">
        <f t="shared" si="0"/>
        <v>1180.8857142857144</v>
      </c>
      <c r="D18" s="53">
        <f t="shared" si="2"/>
        <v>474.12280528179258</v>
      </c>
      <c r="E18" s="38">
        <v>23</v>
      </c>
      <c r="F18" s="53">
        <f t="shared" si="4"/>
        <v>1917.1366720074075</v>
      </c>
      <c r="G18" s="59">
        <f t="shared" si="1"/>
        <v>616.35944005038152</v>
      </c>
      <c r="I18" s="251" t="s">
        <v>61</v>
      </c>
      <c r="J18" s="252"/>
      <c r="K18" s="131">
        <f>(K14+K16)</f>
        <v>32.15</v>
      </c>
      <c r="L18" s="127">
        <f>SUM(L14:L17)</f>
        <v>595.49775</v>
      </c>
    </row>
    <row r="19" spans="1:14" ht="15" customHeight="1" x14ac:dyDescent="0.2">
      <c r="A19" s="38">
        <v>22</v>
      </c>
      <c r="B19" s="53">
        <f t="shared" si="3"/>
        <v>1410.6027069037036</v>
      </c>
      <c r="C19" s="54">
        <f t="shared" si="0"/>
        <v>1129.542857142857</v>
      </c>
      <c r="D19" s="53">
        <f t="shared" si="2"/>
        <v>453.50877026954072</v>
      </c>
      <c r="E19" s="38">
        <v>22</v>
      </c>
      <c r="F19" s="53">
        <f t="shared" si="4"/>
        <v>1833.7829036592591</v>
      </c>
      <c r="G19" s="59">
        <f t="shared" si="1"/>
        <v>589.56120352645178</v>
      </c>
      <c r="I19" s="123"/>
      <c r="J19" s="124"/>
      <c r="K19" s="125"/>
      <c r="L19" s="126"/>
    </row>
    <row r="20" spans="1:14" ht="15" customHeight="1" x14ac:dyDescent="0.2">
      <c r="A20" s="38">
        <v>21</v>
      </c>
      <c r="B20" s="53">
        <f t="shared" si="3"/>
        <v>1346.4844020444443</v>
      </c>
      <c r="C20" s="54">
        <f t="shared" si="0"/>
        <v>1078.2</v>
      </c>
      <c r="D20" s="53">
        <f t="shared" si="2"/>
        <v>432.89473525728886</v>
      </c>
      <c r="E20" s="38">
        <v>21</v>
      </c>
      <c r="F20" s="53">
        <f t="shared" si="4"/>
        <v>1750.4291353111112</v>
      </c>
      <c r="G20" s="59">
        <f t="shared" si="1"/>
        <v>562.76296700252226</v>
      </c>
      <c r="I20" s="273" t="s">
        <v>76</v>
      </c>
      <c r="J20" s="273"/>
      <c r="K20" s="273"/>
      <c r="L20" s="273"/>
      <c r="M20" s="273"/>
      <c r="N20" s="273"/>
    </row>
    <row r="21" spans="1:14" ht="15" customHeight="1" x14ac:dyDescent="0.2">
      <c r="A21" s="38">
        <v>20</v>
      </c>
      <c r="B21" s="53">
        <f t="shared" si="3"/>
        <v>1282.3660971851853</v>
      </c>
      <c r="C21" s="54">
        <f t="shared" si="0"/>
        <v>1026.8571428571429</v>
      </c>
      <c r="D21" s="53">
        <f t="shared" si="2"/>
        <v>412.28070024503705</v>
      </c>
      <c r="E21" s="38">
        <v>20</v>
      </c>
      <c r="F21" s="53">
        <f t="shared" si="4"/>
        <v>1667.075366962963</v>
      </c>
      <c r="G21" s="59">
        <f t="shared" si="1"/>
        <v>535.96473047859263</v>
      </c>
      <c r="I21" s="273"/>
      <c r="J21" s="273"/>
      <c r="K21" s="273"/>
      <c r="L21" s="273"/>
      <c r="M21" s="273"/>
      <c r="N21" s="273"/>
    </row>
    <row r="22" spans="1:14" ht="15" customHeight="1" thickBot="1" x14ac:dyDescent="0.25">
      <c r="A22" s="38">
        <v>19</v>
      </c>
      <c r="B22" s="53">
        <f t="shared" si="3"/>
        <v>1218.247792325926</v>
      </c>
      <c r="C22" s="54">
        <f t="shared" si="0"/>
        <v>975.51428571428573</v>
      </c>
      <c r="D22" s="53">
        <f t="shared" si="2"/>
        <v>391.66666523278519</v>
      </c>
      <c r="E22" s="38">
        <v>19</v>
      </c>
      <c r="F22" s="53">
        <f t="shared" si="4"/>
        <v>1583.7215986148149</v>
      </c>
      <c r="G22" s="59">
        <f t="shared" si="1"/>
        <v>509.166493954663</v>
      </c>
      <c r="I22" s="35"/>
      <c r="J22" s="19"/>
      <c r="L22" s="112"/>
    </row>
    <row r="23" spans="1:14" ht="15" customHeight="1" x14ac:dyDescent="0.2">
      <c r="A23" s="38">
        <v>18</v>
      </c>
      <c r="B23" s="53">
        <f t="shared" si="3"/>
        <v>1154.1294874666667</v>
      </c>
      <c r="C23" s="54">
        <f t="shared" si="0"/>
        <v>924.17142857142869</v>
      </c>
      <c r="D23" s="53">
        <f t="shared" si="2"/>
        <v>371.05263022053333</v>
      </c>
      <c r="E23" s="38">
        <v>18</v>
      </c>
      <c r="F23" s="53">
        <f t="shared" si="4"/>
        <v>1500.3678302666667</v>
      </c>
      <c r="G23" s="59">
        <f t="shared" si="1"/>
        <v>482.36825743073337</v>
      </c>
      <c r="I23" s="219" t="s">
        <v>62</v>
      </c>
      <c r="J23" s="219"/>
      <c r="K23" s="220"/>
      <c r="L23" s="267">
        <v>0</v>
      </c>
    </row>
    <row r="24" spans="1:14" ht="15" customHeight="1" thickBot="1" x14ac:dyDescent="0.25">
      <c r="A24" s="38">
        <v>17</v>
      </c>
      <c r="B24" s="53">
        <f t="shared" si="3"/>
        <v>1090.0111826074076</v>
      </c>
      <c r="C24" s="54">
        <f t="shared" si="0"/>
        <v>872.82857142857131</v>
      </c>
      <c r="D24" s="53">
        <f t="shared" si="2"/>
        <v>350.43859520828153</v>
      </c>
      <c r="E24" s="38">
        <v>17</v>
      </c>
      <c r="F24" s="53">
        <f t="shared" si="4"/>
        <v>1417.0140619185186</v>
      </c>
      <c r="G24" s="59">
        <f t="shared" si="1"/>
        <v>455.57002090680373</v>
      </c>
      <c r="I24" s="219"/>
      <c r="J24" s="219"/>
      <c r="K24" s="220"/>
      <c r="L24" s="268"/>
    </row>
    <row r="25" spans="1:14" ht="15" customHeight="1" thickBot="1" x14ac:dyDescent="0.25">
      <c r="A25" s="38">
        <v>16</v>
      </c>
      <c r="B25" s="53">
        <f t="shared" si="3"/>
        <v>1025.8928777481481</v>
      </c>
      <c r="C25" s="54">
        <f t="shared" si="0"/>
        <v>821.48571428571427</v>
      </c>
      <c r="D25" s="53">
        <f t="shared" si="2"/>
        <v>329.82456019602961</v>
      </c>
      <c r="E25" s="38">
        <v>16</v>
      </c>
      <c r="F25" s="53">
        <f t="shared" si="4"/>
        <v>1333.6602935703704</v>
      </c>
      <c r="G25" s="59">
        <f t="shared" si="1"/>
        <v>428.7717843828741</v>
      </c>
      <c r="I25" s="35"/>
      <c r="J25" s="19"/>
      <c r="L25" s="112"/>
    </row>
    <row r="26" spans="1:14" ht="15" customHeight="1" x14ac:dyDescent="0.2">
      <c r="A26" s="38">
        <v>15</v>
      </c>
      <c r="B26" s="53">
        <f t="shared" si="3"/>
        <v>961.77457288888888</v>
      </c>
      <c r="C26" s="54">
        <f t="shared" si="0"/>
        <v>770.14285714285711</v>
      </c>
      <c r="D26" s="53">
        <f t="shared" si="2"/>
        <v>309.2105251837778</v>
      </c>
      <c r="E26" s="38">
        <v>15</v>
      </c>
      <c r="F26" s="53">
        <f t="shared" si="4"/>
        <v>1250.3065252222223</v>
      </c>
      <c r="G26" s="59">
        <f t="shared" si="1"/>
        <v>401.97354785894447</v>
      </c>
      <c r="I26" s="219" t="s">
        <v>67</v>
      </c>
      <c r="J26" s="219"/>
      <c r="K26" s="220"/>
      <c r="L26" s="217">
        <v>0</v>
      </c>
    </row>
    <row r="27" spans="1:14" ht="15" customHeight="1" thickBot="1" x14ac:dyDescent="0.25">
      <c r="A27" s="38">
        <v>14</v>
      </c>
      <c r="B27" s="53">
        <f t="shared" si="3"/>
        <v>897.6562680296297</v>
      </c>
      <c r="C27" s="54">
        <f t="shared" si="0"/>
        <v>718.80000000000018</v>
      </c>
      <c r="D27" s="53">
        <f t="shared" si="2"/>
        <v>288.59649017152594</v>
      </c>
      <c r="E27" s="38">
        <v>14</v>
      </c>
      <c r="F27" s="53">
        <f t="shared" si="4"/>
        <v>1166.9527568740741</v>
      </c>
      <c r="G27" s="59">
        <f t="shared" si="1"/>
        <v>375.17531133501484</v>
      </c>
      <c r="I27" s="219"/>
      <c r="J27" s="219"/>
      <c r="K27" s="220"/>
      <c r="L27" s="218"/>
    </row>
    <row r="28" spans="1:14" ht="15" customHeight="1" thickBot="1" x14ac:dyDescent="0.25">
      <c r="A28" s="38">
        <v>13</v>
      </c>
      <c r="B28" s="53">
        <f t="shared" si="3"/>
        <v>833.5379631703704</v>
      </c>
      <c r="C28" s="54">
        <f t="shared" si="0"/>
        <v>667.45714285714291</v>
      </c>
      <c r="D28" s="53">
        <f t="shared" si="2"/>
        <v>267.98245515927408</v>
      </c>
      <c r="E28" s="38">
        <v>13</v>
      </c>
      <c r="F28" s="53">
        <f t="shared" si="4"/>
        <v>1083.598988525926</v>
      </c>
      <c r="G28" s="59">
        <f t="shared" si="1"/>
        <v>348.37707481108521</v>
      </c>
      <c r="I28" s="35"/>
      <c r="J28" s="19"/>
      <c r="L28" s="112"/>
    </row>
    <row r="29" spans="1:14" ht="15" customHeight="1" x14ac:dyDescent="0.2">
      <c r="A29" s="38">
        <v>12</v>
      </c>
      <c r="B29" s="53">
        <f t="shared" si="3"/>
        <v>769.41965831111111</v>
      </c>
      <c r="C29" s="54">
        <f t="shared" si="0"/>
        <v>616.11428571428564</v>
      </c>
      <c r="D29" s="53">
        <f t="shared" si="2"/>
        <v>247.36842014702222</v>
      </c>
      <c r="E29" s="38">
        <v>12</v>
      </c>
      <c r="F29" s="53">
        <f t="shared" si="4"/>
        <v>1000.2452201777778</v>
      </c>
      <c r="G29" s="59">
        <f t="shared" si="1"/>
        <v>321.57883828715558</v>
      </c>
      <c r="I29" s="221" t="s">
        <v>63</v>
      </c>
      <c r="J29" s="222"/>
      <c r="K29" s="222"/>
      <c r="L29" s="223"/>
    </row>
    <row r="30" spans="1:14" ht="15" customHeight="1" thickBot="1" x14ac:dyDescent="0.25">
      <c r="A30" s="38">
        <v>11</v>
      </c>
      <c r="B30" s="53">
        <f t="shared" si="3"/>
        <v>705.30135345185181</v>
      </c>
      <c r="C30" s="54">
        <f t="shared" si="0"/>
        <v>564.77142857142849</v>
      </c>
      <c r="D30" s="53">
        <f t="shared" si="2"/>
        <v>226.75438513477036</v>
      </c>
      <c r="E30" s="38">
        <v>11</v>
      </c>
      <c r="F30" s="53">
        <f t="shared" si="4"/>
        <v>916.89145182962955</v>
      </c>
      <c r="G30" s="59">
        <f t="shared" si="1"/>
        <v>294.78060176322589</v>
      </c>
      <c r="I30" s="224"/>
      <c r="J30" s="225"/>
      <c r="K30" s="225"/>
      <c r="L30" s="226"/>
    </row>
    <row r="31" spans="1:14" ht="15" customHeight="1" thickBot="1" x14ac:dyDescent="0.25">
      <c r="A31" s="38">
        <v>10</v>
      </c>
      <c r="B31" s="53">
        <f t="shared" si="3"/>
        <v>641.18304859259263</v>
      </c>
      <c r="C31" s="54">
        <f t="shared" si="0"/>
        <v>513.42857142857144</v>
      </c>
      <c r="D31" s="53">
        <f t="shared" si="2"/>
        <v>206.14035012251853</v>
      </c>
      <c r="E31" s="38">
        <v>10</v>
      </c>
      <c r="F31" s="53">
        <f t="shared" si="4"/>
        <v>833.53768348148151</v>
      </c>
      <c r="G31" s="59">
        <f t="shared" si="1"/>
        <v>267.98236523929631</v>
      </c>
      <c r="I31" s="134" t="s">
        <v>68</v>
      </c>
      <c r="J31" s="132" t="s">
        <v>53</v>
      </c>
      <c r="K31" s="130" t="s">
        <v>69</v>
      </c>
      <c r="L31" s="116" t="s">
        <v>55</v>
      </c>
    </row>
    <row r="32" spans="1:14" ht="15" customHeight="1" x14ac:dyDescent="0.2">
      <c r="A32" s="38">
        <v>9</v>
      </c>
      <c r="B32" s="53">
        <f t="shared" si="3"/>
        <v>577.06474373333333</v>
      </c>
      <c r="C32" s="54">
        <f t="shared" si="0"/>
        <v>462.08571428571435</v>
      </c>
      <c r="D32" s="53">
        <f t="shared" si="2"/>
        <v>185.52631511026667</v>
      </c>
      <c r="E32" s="38">
        <v>9</v>
      </c>
      <c r="F32" s="53">
        <f t="shared" si="4"/>
        <v>750.18391513333336</v>
      </c>
      <c r="G32" s="59">
        <f t="shared" si="1"/>
        <v>241.18412871536668</v>
      </c>
      <c r="I32" s="260">
        <f>((L23/37.5*7.5*5)/7)*30*$C$43</f>
        <v>0</v>
      </c>
      <c r="J32" s="262">
        <f>IF(L26&lt;I32,I32,L26)</f>
        <v>0</v>
      </c>
      <c r="K32" s="264">
        <v>32.15</v>
      </c>
      <c r="L32" s="253">
        <f>J32*K32%</f>
        <v>0</v>
      </c>
    </row>
    <row r="33" spans="1:14" ht="15" customHeight="1" thickBot="1" x14ac:dyDescent="0.25">
      <c r="A33" s="38">
        <v>8</v>
      </c>
      <c r="B33" s="53">
        <f t="shared" si="3"/>
        <v>512.94643887407403</v>
      </c>
      <c r="C33" s="54">
        <f t="shared" si="0"/>
        <v>410.74285714285713</v>
      </c>
      <c r="D33" s="53">
        <f t="shared" si="2"/>
        <v>164.9122800980148</v>
      </c>
      <c r="E33" s="38">
        <v>8</v>
      </c>
      <c r="F33" s="53">
        <f t="shared" si="4"/>
        <v>666.83014678518521</v>
      </c>
      <c r="G33" s="59">
        <f t="shared" si="1"/>
        <v>214.38589219143705</v>
      </c>
      <c r="I33" s="261"/>
      <c r="J33" s="263"/>
      <c r="K33" s="265"/>
      <c r="L33" s="266"/>
    </row>
    <row r="34" spans="1:14" ht="15" customHeight="1" thickBot="1" x14ac:dyDescent="0.25">
      <c r="A34" s="38">
        <v>7</v>
      </c>
      <c r="B34" s="53">
        <f t="shared" si="3"/>
        <v>448.82813401481485</v>
      </c>
      <c r="C34" s="54">
        <f t="shared" si="0"/>
        <v>359.40000000000009</v>
      </c>
      <c r="D34" s="53">
        <f t="shared" si="2"/>
        <v>144.29824508576297</v>
      </c>
      <c r="E34" s="38">
        <v>7</v>
      </c>
      <c r="F34" s="53">
        <f t="shared" si="4"/>
        <v>583.47637843703706</v>
      </c>
      <c r="G34" s="59">
        <f t="shared" si="1"/>
        <v>187.58765566750742</v>
      </c>
      <c r="I34" s="255" t="s">
        <v>64</v>
      </c>
      <c r="J34" s="256"/>
      <c r="K34" s="257"/>
      <c r="L34" s="127">
        <f>SUM(L32)</f>
        <v>0</v>
      </c>
    </row>
    <row r="35" spans="1:14" ht="15" customHeight="1" x14ac:dyDescent="0.2">
      <c r="A35" s="38">
        <v>6</v>
      </c>
      <c r="B35" s="53">
        <f t="shared" si="3"/>
        <v>384.70982915555555</v>
      </c>
      <c r="C35" s="54">
        <f t="shared" si="0"/>
        <v>308.05714285714282</v>
      </c>
      <c r="D35" s="53">
        <f t="shared" si="2"/>
        <v>123.68421007351111</v>
      </c>
      <c r="E35" s="38">
        <v>6</v>
      </c>
      <c r="F35" s="53">
        <f t="shared" si="4"/>
        <v>500.12261008888891</v>
      </c>
      <c r="G35" s="59">
        <f t="shared" si="1"/>
        <v>160.78941914357779</v>
      </c>
      <c r="I35" s="35"/>
      <c r="J35" s="19"/>
      <c r="L35" s="112"/>
      <c r="N35" s="133"/>
    </row>
    <row r="36" spans="1:14" ht="15" customHeight="1" x14ac:dyDescent="0.2">
      <c r="A36" s="38">
        <v>5</v>
      </c>
      <c r="B36" s="53">
        <f t="shared" si="3"/>
        <v>320.59152429629631</v>
      </c>
      <c r="C36" s="54">
        <f t="shared" si="0"/>
        <v>256.71428571428572</v>
      </c>
      <c r="D36" s="53">
        <f t="shared" si="2"/>
        <v>103.07017506125926</v>
      </c>
      <c r="E36" s="38">
        <v>5</v>
      </c>
      <c r="F36" s="53">
        <f t="shared" si="4"/>
        <v>416.76884174074075</v>
      </c>
      <c r="G36" s="59">
        <f t="shared" si="1"/>
        <v>133.99118261964816</v>
      </c>
      <c r="I36" s="258" t="s">
        <v>120</v>
      </c>
      <c r="J36" s="258"/>
      <c r="K36" s="258"/>
      <c r="L36" s="258"/>
      <c r="M36" s="259" t="s">
        <v>98</v>
      </c>
      <c r="N36" s="133"/>
    </row>
    <row r="37" spans="1:14" ht="14.45" customHeight="1" x14ac:dyDescent="0.2">
      <c r="A37" s="38">
        <v>4</v>
      </c>
      <c r="B37" s="53">
        <f t="shared" si="3"/>
        <v>256.47321943703702</v>
      </c>
      <c r="C37" s="54">
        <f t="shared" si="0"/>
        <v>205.37142857142857</v>
      </c>
      <c r="D37" s="53">
        <f t="shared" si="2"/>
        <v>82.456140049007402</v>
      </c>
      <c r="E37" s="38">
        <v>4</v>
      </c>
      <c r="F37" s="53">
        <f t="shared" si="4"/>
        <v>333.4150733925926</v>
      </c>
      <c r="G37" s="59">
        <f t="shared" si="1"/>
        <v>107.19294609571853</v>
      </c>
      <c r="I37" s="258"/>
      <c r="J37" s="258"/>
      <c r="K37" s="258"/>
      <c r="L37" s="258"/>
      <c r="M37" s="259"/>
      <c r="N37" s="133"/>
    </row>
    <row r="38" spans="1:14" ht="15" customHeight="1" x14ac:dyDescent="0.2">
      <c r="A38" s="38">
        <v>3</v>
      </c>
      <c r="B38" s="53">
        <f t="shared" si="3"/>
        <v>192.35491457777778</v>
      </c>
      <c r="C38" s="54">
        <f t="shared" si="0"/>
        <v>154.02857142857141</v>
      </c>
      <c r="D38" s="53">
        <f t="shared" si="2"/>
        <v>61.842105036755555</v>
      </c>
      <c r="E38" s="38">
        <v>3</v>
      </c>
      <c r="F38" s="53">
        <f t="shared" si="4"/>
        <v>250.06130504444445</v>
      </c>
      <c r="G38" s="59">
        <f t="shared" si="1"/>
        <v>80.394709571788894</v>
      </c>
      <c r="I38" s="8"/>
    </row>
    <row r="39" spans="1:14" ht="15" customHeight="1" x14ac:dyDescent="0.2">
      <c r="A39" s="38">
        <v>2</v>
      </c>
      <c r="B39" s="53">
        <f t="shared" si="3"/>
        <v>128.23660971851851</v>
      </c>
      <c r="C39" s="54">
        <f t="shared" si="0"/>
        <v>102.68571428571428</v>
      </c>
      <c r="D39" s="53">
        <f t="shared" si="2"/>
        <v>41.228070024503701</v>
      </c>
      <c r="E39" s="38">
        <v>2</v>
      </c>
      <c r="F39" s="53">
        <f t="shared" si="4"/>
        <v>166.7075366962963</v>
      </c>
      <c r="G39" s="59">
        <f t="shared" si="1"/>
        <v>53.596473047859263</v>
      </c>
      <c r="I39" s="8"/>
    </row>
    <row r="40" spans="1:14" ht="15" customHeight="1" x14ac:dyDescent="0.2">
      <c r="A40" s="39">
        <v>1</v>
      </c>
      <c r="B40" s="55">
        <f t="shared" si="3"/>
        <v>64.118304859259254</v>
      </c>
      <c r="C40" s="56">
        <f t="shared" si="0"/>
        <v>51.342857142857142</v>
      </c>
      <c r="D40" s="55">
        <f t="shared" si="2"/>
        <v>20.614035012251851</v>
      </c>
      <c r="E40" s="39">
        <v>1</v>
      </c>
      <c r="F40" s="55">
        <f t="shared" si="4"/>
        <v>83.353768348148151</v>
      </c>
      <c r="G40" s="55">
        <f t="shared" si="1"/>
        <v>26.798236523929631</v>
      </c>
      <c r="I40" s="8"/>
    </row>
    <row r="41" spans="1:14" hidden="1" x14ac:dyDescent="0.2">
      <c r="C41" s="208" t="s">
        <v>94</v>
      </c>
      <c r="D41" s="198"/>
    </row>
    <row r="42" spans="1:14" ht="13.5" hidden="1" thickBot="1" x14ac:dyDescent="0.25"/>
    <row r="43" spans="1:14" ht="42" hidden="1" customHeight="1" thickBot="1" x14ac:dyDescent="0.25">
      <c r="B43" s="199" t="s">
        <v>13</v>
      </c>
      <c r="C43" s="200">
        <v>11.98</v>
      </c>
      <c r="E43" s="17"/>
    </row>
  </sheetData>
  <sheetProtection algorithmName="SHA-512" hashValue="jOerAFmliHvwBhnsBu8Et0/zcv/IJzDvoqOQ1VZxOzZhcykY1bC9h04L9qBQ1jKkGufVwJmMQCWsf7fRfsD7dg==" saltValue="9+Fy65FRlD4qY8QXoJrNDw==" spinCount="100000" sheet="1" objects="1" scenarios="1"/>
  <protectedRanges>
    <protectedRange sqref="M36" name="CALCULO RC"/>
    <protectedRange sqref="L8 L26" name="RET TC_1"/>
    <protectedRange sqref="L23" name="DED_1"/>
  </protectedRanges>
  <mergeCells count="36">
    <mergeCell ref="I34:K34"/>
    <mergeCell ref="I36:L37"/>
    <mergeCell ref="M36:M37"/>
    <mergeCell ref="I29:L30"/>
    <mergeCell ref="I32:I33"/>
    <mergeCell ref="J32:J33"/>
    <mergeCell ref="K32:K33"/>
    <mergeCell ref="L32:L33"/>
    <mergeCell ref="I20:N21"/>
    <mergeCell ref="I23:K24"/>
    <mergeCell ref="L23:L24"/>
    <mergeCell ref="I26:K27"/>
    <mergeCell ref="L26:L27"/>
    <mergeCell ref="I16:I17"/>
    <mergeCell ref="J16:J17"/>
    <mergeCell ref="K16:K17"/>
    <mergeCell ref="L16:L17"/>
    <mergeCell ref="I18:J18"/>
    <mergeCell ref="I8:K9"/>
    <mergeCell ref="L8:L9"/>
    <mergeCell ref="I11:L12"/>
    <mergeCell ref="I14:I15"/>
    <mergeCell ref="J14:J15"/>
    <mergeCell ref="K14:K15"/>
    <mergeCell ref="L14:L15"/>
    <mergeCell ref="I4:I5"/>
    <mergeCell ref="J4:J5"/>
    <mergeCell ref="K4:K5"/>
    <mergeCell ref="L4:L5"/>
    <mergeCell ref="M4:M5"/>
    <mergeCell ref="B2:D2"/>
    <mergeCell ref="F2:G2"/>
    <mergeCell ref="A1:G1"/>
    <mergeCell ref="I2:K2"/>
    <mergeCell ref="L2:M2"/>
    <mergeCell ref="I1:M1"/>
  </mergeCells>
  <hyperlinks>
    <hyperlink ref="M36:M37" r:id="rId1" display="CALCULO RC E INDEMNIZACION" xr:uid="{00000000-0004-0000-0100-000000000000}"/>
  </hyperlinks>
  <pageMargins left="0.94488188976377963" right="0.86614173228346458" top="0" bottom="0.39370078740157483" header="0" footer="0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opLeftCell="B1" zoomScaleNormal="100" workbookViewId="0">
      <selection activeCell="B18" sqref="B18:C18"/>
    </sheetView>
  </sheetViews>
  <sheetFormatPr baseColWidth="10" defaultColWidth="11.5703125" defaultRowHeight="14.25" x14ac:dyDescent="0.2"/>
  <cols>
    <col min="1" max="1" width="40.7109375" style="165" customWidth="1"/>
    <col min="2" max="4" width="24.7109375" style="70" customWidth="1"/>
    <col min="5" max="5" width="8" style="5" customWidth="1"/>
    <col min="6" max="6" width="30" style="7" customWidth="1"/>
    <col min="7" max="7" width="20.7109375" style="5" customWidth="1"/>
    <col min="8" max="8" width="24.28515625" style="5" customWidth="1"/>
    <col min="9" max="9" width="20.5703125" style="5" customWidth="1"/>
    <col min="10" max="10" width="15.28515625" style="5" customWidth="1"/>
    <col min="11" max="16384" width="11.5703125" style="5"/>
  </cols>
  <sheetData>
    <row r="1" spans="1:10" s="8" customFormat="1" ht="55.5" customHeight="1" thickBot="1" x14ac:dyDescent="0.25">
      <c r="A1" s="284" t="s">
        <v>97</v>
      </c>
      <c r="B1" s="285"/>
      <c r="C1" s="285"/>
      <c r="D1" s="286"/>
      <c r="F1" s="155" t="s">
        <v>81</v>
      </c>
      <c r="G1" s="287" t="s">
        <v>48</v>
      </c>
      <c r="H1" s="288"/>
      <c r="I1" s="287" t="s">
        <v>52</v>
      </c>
      <c r="J1" s="288"/>
    </row>
    <row r="2" spans="1:10" s="36" customFormat="1" ht="34.5" customHeight="1" x14ac:dyDescent="0.2">
      <c r="A2" s="161" t="s">
        <v>80</v>
      </c>
      <c r="B2" s="282" t="s">
        <v>45</v>
      </c>
      <c r="C2" s="283"/>
      <c r="D2" s="283"/>
      <c r="E2" s="171"/>
      <c r="F2" s="121" t="s">
        <v>82</v>
      </c>
      <c r="G2" s="121" t="s">
        <v>58</v>
      </c>
      <c r="H2" s="121" t="s">
        <v>59</v>
      </c>
      <c r="I2" s="122" t="s">
        <v>50</v>
      </c>
      <c r="J2" s="121" t="s">
        <v>51</v>
      </c>
    </row>
    <row r="3" spans="1:10" s="27" customFormat="1" ht="25.5" x14ac:dyDescent="0.2">
      <c r="A3" s="136"/>
      <c r="B3" s="65" t="s">
        <v>93</v>
      </c>
      <c r="C3" s="137" t="s">
        <v>78</v>
      </c>
      <c r="D3" s="137" t="s">
        <v>84</v>
      </c>
      <c r="F3" s="138">
        <v>9.82</v>
      </c>
      <c r="G3" s="201">
        <v>1629.3</v>
      </c>
      <c r="H3" s="201">
        <v>4495.5</v>
      </c>
      <c r="I3" s="202">
        <v>1166.7</v>
      </c>
      <c r="J3" s="202">
        <v>4495.5</v>
      </c>
    </row>
    <row r="4" spans="1:10" s="21" customFormat="1" ht="30.75" customHeight="1" thickBot="1" x14ac:dyDescent="0.25">
      <c r="A4" s="162" t="s">
        <v>79</v>
      </c>
      <c r="B4" s="145">
        <v>30752.12</v>
      </c>
      <c r="C4" s="174">
        <f>B4/12</f>
        <v>2562.6766666666667</v>
      </c>
      <c r="D4" s="175">
        <f>B4/14</f>
        <v>2196.58</v>
      </c>
      <c r="F4" s="150"/>
      <c r="G4" s="151"/>
      <c r="H4" s="151"/>
      <c r="I4" s="152"/>
      <c r="J4" s="152"/>
    </row>
    <row r="5" spans="1:10" s="8" customFormat="1" ht="24" customHeight="1" thickBot="1" x14ac:dyDescent="0.25">
      <c r="A5" s="163" t="s">
        <v>70</v>
      </c>
      <c r="B5" s="146">
        <f>B4*56%</f>
        <v>17221.1872</v>
      </c>
      <c r="C5" s="146">
        <f>B5/12</f>
        <v>1435.0989333333334</v>
      </c>
      <c r="D5" s="147">
        <f>B5/14</f>
        <v>1230.0848000000001</v>
      </c>
      <c r="F5" s="275" t="s">
        <v>95</v>
      </c>
      <c r="G5" s="275"/>
      <c r="H5" s="275"/>
      <c r="I5" s="207">
        <v>0</v>
      </c>
    </row>
    <row r="6" spans="1:10" s="8" customFormat="1" ht="24" customHeight="1" x14ac:dyDescent="0.2">
      <c r="A6" s="163" t="s">
        <v>71</v>
      </c>
      <c r="B6" s="146">
        <f>B4*56%</f>
        <v>17221.1872</v>
      </c>
      <c r="C6" s="176">
        <f>B6/12</f>
        <v>1435.0989333333334</v>
      </c>
      <c r="D6" s="172">
        <f t="shared" ref="D6:D10" si="0">B6/14</f>
        <v>1230.0848000000001</v>
      </c>
      <c r="F6" s="289" t="s">
        <v>86</v>
      </c>
      <c r="G6" s="290"/>
      <c r="H6" s="290"/>
      <c r="I6" s="291"/>
      <c r="J6" s="154"/>
    </row>
    <row r="7" spans="1:10" s="8" customFormat="1" ht="24" customHeight="1" thickBot="1" x14ac:dyDescent="0.25">
      <c r="A7" s="163" t="s">
        <v>72</v>
      </c>
      <c r="B7" s="146">
        <f>B4*60%</f>
        <v>18451.271999999997</v>
      </c>
      <c r="C7" s="176">
        <f>B7/12</f>
        <v>1537.6059999999998</v>
      </c>
      <c r="D7" s="172">
        <f t="shared" si="0"/>
        <v>1317.9479999999999</v>
      </c>
      <c r="F7" s="292"/>
      <c r="G7" s="293"/>
      <c r="H7" s="293"/>
      <c r="I7" s="294"/>
      <c r="J7" s="154"/>
    </row>
    <row r="8" spans="1:10" s="8" customFormat="1" ht="24" customHeight="1" thickBot="1" x14ac:dyDescent="0.25">
      <c r="A8" s="163" t="s">
        <v>73</v>
      </c>
      <c r="B8" s="146">
        <f>B4*75%</f>
        <v>23064.09</v>
      </c>
      <c r="C8" s="146">
        <f>B8/12</f>
        <v>1922.0074999999999</v>
      </c>
      <c r="D8" s="147">
        <f t="shared" si="0"/>
        <v>1647.4349999999999</v>
      </c>
      <c r="F8" s="114"/>
      <c r="G8" s="132" t="s">
        <v>53</v>
      </c>
      <c r="H8" s="156" t="s">
        <v>54</v>
      </c>
      <c r="I8" s="139" t="s">
        <v>55</v>
      </c>
    </row>
    <row r="9" spans="1:10" s="8" customFormat="1" ht="15" customHeight="1" x14ac:dyDescent="0.2">
      <c r="A9" s="163"/>
      <c r="B9" s="146"/>
      <c r="C9" s="146"/>
      <c r="D9" s="147"/>
      <c r="F9" s="295" t="s">
        <v>56</v>
      </c>
      <c r="G9" s="246">
        <f>IF($I$5&gt;=$G$3,$I$5,$G$3)</f>
        <v>1629.3</v>
      </c>
      <c r="H9" s="264">
        <v>17.02</v>
      </c>
      <c r="I9" s="246">
        <f>G9*H9%</f>
        <v>277.30685999999997</v>
      </c>
    </row>
    <row r="10" spans="1:10" s="8" customFormat="1" ht="15" customHeight="1" thickBot="1" x14ac:dyDescent="0.25">
      <c r="A10" s="164" t="s">
        <v>74</v>
      </c>
      <c r="B10" s="148">
        <f>(SUM(B5:B8))/4</f>
        <v>18989.434099999999</v>
      </c>
      <c r="C10" s="177">
        <f>(SUM(C5:C8))/4</f>
        <v>1582.4528416666667</v>
      </c>
      <c r="D10" s="173">
        <f t="shared" si="0"/>
        <v>1356.38815</v>
      </c>
      <c r="F10" s="296"/>
      <c r="G10" s="247"/>
      <c r="H10" s="265"/>
      <c r="I10" s="247"/>
    </row>
    <row r="11" spans="1:10" ht="14.25" customHeight="1" x14ac:dyDescent="0.2">
      <c r="F11" s="295" t="s">
        <v>57</v>
      </c>
      <c r="G11" s="246">
        <f>IF($I$5&gt;=$I$3,$I$5,$I$3)</f>
        <v>1166.7</v>
      </c>
      <c r="H11" s="264">
        <v>9</v>
      </c>
      <c r="I11" s="246">
        <f>G11*H11%</f>
        <v>105.003</v>
      </c>
    </row>
    <row r="12" spans="1:10" ht="15" thickBot="1" x14ac:dyDescent="0.25">
      <c r="F12" s="296"/>
      <c r="G12" s="247"/>
      <c r="H12" s="265"/>
      <c r="I12" s="247"/>
    </row>
    <row r="13" spans="1:10" ht="24" customHeight="1" thickBot="1" x14ac:dyDescent="0.25">
      <c r="A13" s="297" t="s">
        <v>99</v>
      </c>
      <c r="B13" s="297"/>
      <c r="C13" s="297"/>
      <c r="D13" s="297"/>
      <c r="F13" s="251" t="s">
        <v>83</v>
      </c>
      <c r="G13" s="252"/>
      <c r="H13" s="158">
        <f>SUM(H9:H12)</f>
        <v>26.02</v>
      </c>
      <c r="I13" s="153">
        <f>SUM(I9:I12)</f>
        <v>382.30985999999996</v>
      </c>
    </row>
    <row r="14" spans="1:10" x14ac:dyDescent="0.2">
      <c r="A14" s="297"/>
      <c r="B14" s="297"/>
      <c r="C14" s="297"/>
      <c r="D14" s="297"/>
    </row>
    <row r="15" spans="1:10" x14ac:dyDescent="0.2">
      <c r="A15" s="258" t="s">
        <v>100</v>
      </c>
      <c r="B15" s="258"/>
      <c r="C15" s="258"/>
      <c r="D15" s="258"/>
    </row>
    <row r="16" spans="1:10" ht="15" customHeight="1" thickBot="1" x14ac:dyDescent="0.25">
      <c r="A16" s="258"/>
      <c r="B16" s="258"/>
      <c r="C16" s="258"/>
      <c r="D16" s="258"/>
    </row>
    <row r="17" spans="1:10" ht="28.5" customHeight="1" thickBot="1" x14ac:dyDescent="0.25">
      <c r="A17" s="166"/>
      <c r="B17"/>
      <c r="C17"/>
      <c r="D17"/>
      <c r="F17" s="275" t="s">
        <v>95</v>
      </c>
      <c r="G17" s="275"/>
      <c r="H17" s="275"/>
      <c r="I17" s="207">
        <v>0</v>
      </c>
    </row>
    <row r="18" spans="1:10" ht="42" customHeight="1" thickBot="1" x14ac:dyDescent="0.25">
      <c r="A18" s="178"/>
      <c r="B18" s="274"/>
      <c r="C18" s="274"/>
      <c r="D18" s="167"/>
      <c r="F18" s="276" t="s">
        <v>87</v>
      </c>
      <c r="G18" s="277"/>
      <c r="H18" s="277"/>
      <c r="I18" s="277"/>
      <c r="J18" s="183"/>
    </row>
    <row r="19" spans="1:10" ht="15" thickBot="1" x14ac:dyDescent="0.25">
      <c r="A19" s="169"/>
      <c r="B19" s="169"/>
      <c r="C19" s="169"/>
      <c r="D19" s="169"/>
      <c r="F19" s="157"/>
      <c r="G19" s="132" t="s">
        <v>53</v>
      </c>
      <c r="H19" s="156" t="s">
        <v>54</v>
      </c>
      <c r="I19" s="139" t="s">
        <v>55</v>
      </c>
      <c r="J19" s="178"/>
    </row>
    <row r="20" spans="1:10" ht="21" customHeight="1" x14ac:dyDescent="0.2">
      <c r="A20" s="179"/>
      <c r="B20" s="168"/>
      <c r="C20" s="168"/>
      <c r="D20" s="168"/>
      <c r="F20" s="244" t="s">
        <v>56</v>
      </c>
      <c r="G20" s="246">
        <f>IF($I$17&gt;=$G$3,$I$17,$G$3)</f>
        <v>1629.3</v>
      </c>
      <c r="H20" s="262">
        <v>24.1</v>
      </c>
      <c r="I20" s="280">
        <f>G20*H20%</f>
        <v>392.66130000000004</v>
      </c>
      <c r="J20" s="183"/>
    </row>
    <row r="21" spans="1:10" ht="24.75" customHeight="1" thickBot="1" x14ac:dyDescent="0.25">
      <c r="A21" s="179"/>
      <c r="B21" s="168"/>
      <c r="C21" s="168"/>
      <c r="D21" s="168"/>
      <c r="F21" s="245"/>
      <c r="G21" s="247"/>
      <c r="H21" s="263"/>
      <c r="I21" s="281"/>
      <c r="J21" s="183"/>
    </row>
    <row r="22" spans="1:10" ht="20.25" customHeight="1" x14ac:dyDescent="0.2">
      <c r="A22" s="180"/>
      <c r="B22" s="181"/>
      <c r="C22" s="181"/>
      <c r="D22" s="181"/>
      <c r="F22" s="244" t="s">
        <v>57</v>
      </c>
      <c r="G22" s="246">
        <f>IF($I$17&gt;=$I$3,$I$17,$I$3)</f>
        <v>1166.7</v>
      </c>
      <c r="H22" s="262">
        <v>7.8</v>
      </c>
      <c r="I22" s="246">
        <f>G22*H22%</f>
        <v>91.002600000000001</v>
      </c>
      <c r="J22" s="178"/>
    </row>
    <row r="23" spans="1:10" ht="14.25" customHeight="1" thickBot="1" x14ac:dyDescent="0.25">
      <c r="A23" s="160"/>
      <c r="B23" s="160"/>
      <c r="C23" s="170"/>
      <c r="D23" s="170"/>
      <c r="F23" s="245"/>
      <c r="G23" s="247"/>
      <c r="H23" s="263"/>
      <c r="I23" s="247"/>
      <c r="J23" s="178"/>
    </row>
    <row r="24" spans="1:10" ht="25.5" customHeight="1" thickBot="1" x14ac:dyDescent="0.25">
      <c r="A24" s="160"/>
      <c r="B24" s="160"/>
      <c r="C24" s="170"/>
      <c r="D24" s="170"/>
      <c r="F24" s="251" t="s">
        <v>85</v>
      </c>
      <c r="G24" s="252"/>
      <c r="H24" s="158">
        <f>(H20+H22)</f>
        <v>31.900000000000002</v>
      </c>
      <c r="I24" s="184">
        <f>(I20+I22)</f>
        <v>483.66390000000001</v>
      </c>
      <c r="J24" s="183"/>
    </row>
    <row r="25" spans="1:10" ht="26.25" customHeight="1" x14ac:dyDescent="0.2">
      <c r="A25" s="180"/>
      <c r="B25" s="181"/>
      <c r="C25" s="181"/>
      <c r="D25" s="181"/>
    </row>
    <row r="26" spans="1:10" ht="20.25" customHeight="1" x14ac:dyDescent="0.2">
      <c r="A26" s="160"/>
      <c r="B26" s="160"/>
      <c r="C26" s="182"/>
      <c r="D26" s="182"/>
      <c r="F26" s="279" t="s">
        <v>66</v>
      </c>
      <c r="G26" s="279"/>
      <c r="H26" s="279"/>
      <c r="I26" s="278" t="s">
        <v>65</v>
      </c>
    </row>
    <row r="27" spans="1:10" x14ac:dyDescent="0.2">
      <c r="A27" s="160"/>
      <c r="B27" s="160"/>
      <c r="C27" s="182"/>
      <c r="D27" s="182"/>
      <c r="F27" s="279"/>
      <c r="G27" s="279"/>
      <c r="H27" s="279"/>
      <c r="I27" s="278"/>
    </row>
    <row r="29" spans="1:10" x14ac:dyDescent="0.2">
      <c r="H29" s="159"/>
    </row>
  </sheetData>
  <protectedRanges>
    <protectedRange sqref="I26" name="CALCULO RC"/>
    <protectedRange sqref="C26:D26" name="RET PRACTICAS"/>
    <protectedRange sqref="C23:D23" name="DED"/>
    <protectedRange sqref="I5" name="RET PREDOC_1"/>
    <protectedRange sqref="I17" name="RET PREDOC_2"/>
  </protectedRanges>
  <mergeCells count="31">
    <mergeCell ref="B2:D2"/>
    <mergeCell ref="A1:D1"/>
    <mergeCell ref="F13:G13"/>
    <mergeCell ref="G11:G12"/>
    <mergeCell ref="I1:J1"/>
    <mergeCell ref="G1:H1"/>
    <mergeCell ref="G9:G10"/>
    <mergeCell ref="F5:H5"/>
    <mergeCell ref="F6:I7"/>
    <mergeCell ref="I11:I12"/>
    <mergeCell ref="F9:F10"/>
    <mergeCell ref="F11:F12"/>
    <mergeCell ref="H9:H10"/>
    <mergeCell ref="I9:I10"/>
    <mergeCell ref="H11:H12"/>
    <mergeCell ref="A13:D14"/>
    <mergeCell ref="I26:I27"/>
    <mergeCell ref="F26:H27"/>
    <mergeCell ref="I20:I21"/>
    <mergeCell ref="I22:I23"/>
    <mergeCell ref="F24:G24"/>
    <mergeCell ref="H22:H23"/>
    <mergeCell ref="G22:G23"/>
    <mergeCell ref="F22:F23"/>
    <mergeCell ref="A15:D16"/>
    <mergeCell ref="B18:C18"/>
    <mergeCell ref="F17:H17"/>
    <mergeCell ref="F18:I18"/>
    <mergeCell ref="H20:H21"/>
    <mergeCell ref="G20:G21"/>
    <mergeCell ref="F20:F21"/>
  </mergeCells>
  <hyperlinks>
    <hyperlink ref="I26:I27" r:id="rId1" display="CALCULO RC" xr:uid="{00000000-0004-0000-02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3"/>
  <sheetViews>
    <sheetView topLeftCell="A28" zoomScaleNormal="100" workbookViewId="0">
      <selection activeCell="J50" sqref="J50"/>
    </sheetView>
  </sheetViews>
  <sheetFormatPr baseColWidth="10" defaultColWidth="11.5703125" defaultRowHeight="14.25" x14ac:dyDescent="0.2"/>
  <cols>
    <col min="1" max="1" width="18.42578125" style="4" customWidth="1"/>
    <col min="2" max="2" width="22.7109375" style="68" customWidth="1"/>
    <col min="3" max="3" width="14.7109375" style="69" hidden="1" customWidth="1"/>
    <col min="4" max="4" width="19.7109375" style="68" customWidth="1"/>
    <col min="5" max="5" width="15.85546875" style="5" customWidth="1"/>
    <col min="6" max="6" width="23.5703125" style="68" customWidth="1"/>
    <col min="7" max="7" width="18.42578125" style="68" customWidth="1"/>
    <col min="8" max="8" width="6.7109375" style="5" customWidth="1"/>
    <col min="9" max="9" width="17.7109375" style="7" customWidth="1"/>
    <col min="10" max="10" width="17.7109375" style="5" customWidth="1"/>
    <col min="11" max="11" width="16.28515625" style="5" customWidth="1"/>
    <col min="12" max="12" width="16.7109375" style="5" customWidth="1"/>
    <col min="13" max="13" width="16.28515625" style="5" customWidth="1"/>
    <col min="14" max="16384" width="11.5703125" style="5"/>
  </cols>
  <sheetData>
    <row r="1" spans="1:16" s="8" customFormat="1" ht="43.9" customHeight="1" x14ac:dyDescent="0.2">
      <c r="A1" s="236" t="s">
        <v>113</v>
      </c>
      <c r="B1" s="237"/>
      <c r="C1" s="237"/>
      <c r="D1" s="237"/>
      <c r="E1" s="237"/>
      <c r="F1" s="237"/>
      <c r="G1" s="237"/>
      <c r="I1" s="239" t="s">
        <v>119</v>
      </c>
      <c r="J1" s="240"/>
      <c r="K1" s="240"/>
      <c r="L1" s="240"/>
      <c r="M1" s="241"/>
    </row>
    <row r="2" spans="1:16" s="36" customFormat="1" ht="24.75" customHeight="1" x14ac:dyDescent="0.2">
      <c r="A2" s="44"/>
      <c r="B2" s="300" t="s">
        <v>45</v>
      </c>
      <c r="C2" s="300"/>
      <c r="D2" s="301"/>
      <c r="E2" s="42"/>
      <c r="F2" s="300" t="s">
        <v>46</v>
      </c>
      <c r="G2" s="301"/>
      <c r="I2" s="229" t="s">
        <v>48</v>
      </c>
      <c r="J2" s="229"/>
      <c r="K2" s="229"/>
      <c r="L2" s="229" t="s">
        <v>52</v>
      </c>
      <c r="M2" s="229"/>
      <c r="O2" s="5"/>
      <c r="P2" s="5"/>
    </row>
    <row r="3" spans="1:16" s="27" customFormat="1" ht="38.25" x14ac:dyDescent="0.2">
      <c r="A3" s="43" t="s">
        <v>43</v>
      </c>
      <c r="B3" s="65" t="s">
        <v>44</v>
      </c>
      <c r="C3" s="66" t="s">
        <v>14</v>
      </c>
      <c r="D3" s="67" t="s">
        <v>116</v>
      </c>
      <c r="E3" s="40" t="s">
        <v>43</v>
      </c>
      <c r="F3" s="65" t="s">
        <v>44</v>
      </c>
      <c r="G3" s="67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  <c r="O3" s="5"/>
      <c r="P3" s="5"/>
    </row>
    <row r="4" spans="1:16" ht="15" customHeight="1" x14ac:dyDescent="0.2">
      <c r="A4" s="37">
        <v>37.5</v>
      </c>
      <c r="B4" s="71">
        <f>PARAMETROS!B5</f>
        <v>1777.1921455555555</v>
      </c>
      <c r="C4" s="72"/>
      <c r="D4" s="71"/>
      <c r="E4" s="37">
        <v>37.5</v>
      </c>
      <c r="F4" s="71">
        <f>PARAMETROS!C5</f>
        <v>2310.3499640277778</v>
      </c>
      <c r="G4" s="71">
        <f>IF(F4&gt;$K$4,$K$4*$K$18%,F4*$K$18%)</f>
        <v>742.7775134349306</v>
      </c>
      <c r="I4" s="238">
        <v>1</v>
      </c>
      <c r="J4" s="234">
        <v>1989.3</v>
      </c>
      <c r="K4" s="234">
        <v>5101.2</v>
      </c>
      <c r="L4" s="232">
        <v>1424.4</v>
      </c>
      <c r="M4" s="234">
        <v>5101.2</v>
      </c>
      <c r="N4" s="8"/>
    </row>
    <row r="5" spans="1:16" ht="15" customHeight="1" x14ac:dyDescent="0.2">
      <c r="A5" s="38">
        <v>36</v>
      </c>
      <c r="B5" s="73">
        <f>PRODUCT(B$4,A5)/A$4</f>
        <v>1706.1044597333332</v>
      </c>
      <c r="C5" s="74">
        <f t="shared" ref="C5:C40" si="0">(A5/$A$4*7.5*5)/7*30*$C$43</f>
        <v>1848.3428571428574</v>
      </c>
      <c r="D5" s="73">
        <f>IF(B5&lt;C5,C5*$K$18%,B5*$K$18%)</f>
        <v>594.24222857142865</v>
      </c>
      <c r="E5" s="38">
        <v>36</v>
      </c>
      <c r="F5" s="73">
        <f>PRODUCT(F$4,E5)/E$4</f>
        <v>2217.9359654666664</v>
      </c>
      <c r="G5" s="73">
        <f t="shared" ref="G5:G40" si="1">IF(F5&gt;$K$4,$K$4*$K$18%,F5*$K$18%)</f>
        <v>713.06641289753327</v>
      </c>
      <c r="I5" s="238"/>
      <c r="J5" s="235"/>
      <c r="K5" s="235"/>
      <c r="L5" s="233"/>
      <c r="M5" s="235"/>
      <c r="N5" s="8"/>
    </row>
    <row r="6" spans="1:16" ht="15" customHeight="1" x14ac:dyDescent="0.2">
      <c r="A6" s="38">
        <v>35</v>
      </c>
      <c r="B6" s="73">
        <f t="shared" ref="B6:B40" si="2">PRODUCT(B$4,A6)/A$4</f>
        <v>1658.7126691851852</v>
      </c>
      <c r="C6" s="74">
        <f t="shared" si="0"/>
        <v>1797</v>
      </c>
      <c r="D6" s="73">
        <f t="shared" ref="D6:D40" si="3">IF(B6&lt;C6,C6*$K$18%,B6*$K$18%)</f>
        <v>577.7355</v>
      </c>
      <c r="E6" s="38">
        <v>35</v>
      </c>
      <c r="F6" s="73">
        <f t="shared" ref="F6:F40" si="4">PRODUCT(F$4,E6)/E$4</f>
        <v>2156.3266330925926</v>
      </c>
      <c r="G6" s="73">
        <f t="shared" si="1"/>
        <v>693.2590125392685</v>
      </c>
      <c r="I6" s="35"/>
      <c r="J6" s="8"/>
      <c r="K6" s="8"/>
      <c r="L6" s="112"/>
      <c r="M6" s="8"/>
      <c r="N6" s="8"/>
    </row>
    <row r="7" spans="1:16" ht="15" customHeight="1" thickBot="1" x14ac:dyDescent="0.25">
      <c r="A7" s="38">
        <v>34</v>
      </c>
      <c r="B7" s="73">
        <f t="shared" si="2"/>
        <v>1611.3208786370371</v>
      </c>
      <c r="C7" s="74">
        <f t="shared" si="0"/>
        <v>1745.6571428571426</v>
      </c>
      <c r="D7" s="73">
        <f t="shared" si="3"/>
        <v>561.22877142857135</v>
      </c>
      <c r="E7" s="38">
        <v>34</v>
      </c>
      <c r="F7" s="73">
        <f t="shared" si="4"/>
        <v>2094.7173007185188</v>
      </c>
      <c r="G7" s="73">
        <f t="shared" si="1"/>
        <v>673.45161218100384</v>
      </c>
      <c r="I7" s="35"/>
      <c r="J7" s="19"/>
      <c r="K7" s="8"/>
      <c r="L7" s="112"/>
      <c r="M7" s="8"/>
      <c r="N7" s="8"/>
    </row>
    <row r="8" spans="1:16" ht="15" customHeight="1" x14ac:dyDescent="0.2">
      <c r="A8" s="38">
        <v>33</v>
      </c>
      <c r="B8" s="73">
        <f t="shared" si="2"/>
        <v>1563.9290880888889</v>
      </c>
      <c r="C8" s="74">
        <f t="shared" si="0"/>
        <v>1694.3142857142859</v>
      </c>
      <c r="D8" s="73">
        <f t="shared" si="3"/>
        <v>544.72204285714292</v>
      </c>
      <c r="E8" s="38">
        <v>33</v>
      </c>
      <c r="F8" s="73">
        <f t="shared" si="4"/>
        <v>2033.1079683444443</v>
      </c>
      <c r="G8" s="73">
        <f t="shared" si="1"/>
        <v>653.64421182273884</v>
      </c>
      <c r="I8" s="219" t="s">
        <v>88</v>
      </c>
      <c r="J8" s="219"/>
      <c r="K8" s="220"/>
      <c r="L8" s="217">
        <v>0</v>
      </c>
      <c r="M8" s="8"/>
      <c r="N8" s="8"/>
    </row>
    <row r="9" spans="1:16" ht="15" customHeight="1" thickBot="1" x14ac:dyDescent="0.25">
      <c r="A9" s="38">
        <v>32</v>
      </c>
      <c r="B9" s="73">
        <f t="shared" si="2"/>
        <v>1516.5372975407406</v>
      </c>
      <c r="C9" s="74">
        <f t="shared" si="0"/>
        <v>1642.9714285714285</v>
      </c>
      <c r="D9" s="73">
        <f t="shared" si="3"/>
        <v>528.21531428571427</v>
      </c>
      <c r="E9" s="38">
        <v>32</v>
      </c>
      <c r="F9" s="73">
        <f t="shared" si="4"/>
        <v>1971.4986359703703</v>
      </c>
      <c r="G9" s="73">
        <f t="shared" si="1"/>
        <v>633.83681146447407</v>
      </c>
      <c r="I9" s="219"/>
      <c r="J9" s="219"/>
      <c r="K9" s="220"/>
      <c r="L9" s="218"/>
      <c r="M9" s="8"/>
      <c r="N9" s="8"/>
    </row>
    <row r="10" spans="1:16" ht="15" customHeight="1" thickBot="1" x14ac:dyDescent="0.25">
      <c r="A10" s="38">
        <v>31</v>
      </c>
      <c r="B10" s="73">
        <f t="shared" si="2"/>
        <v>1469.1455069925926</v>
      </c>
      <c r="C10" s="74">
        <f t="shared" si="0"/>
        <v>1591.6285714285716</v>
      </c>
      <c r="D10" s="73">
        <f t="shared" si="3"/>
        <v>511.70858571428579</v>
      </c>
      <c r="E10" s="38">
        <v>31</v>
      </c>
      <c r="F10" s="73">
        <f t="shared" si="4"/>
        <v>1909.8893035962965</v>
      </c>
      <c r="G10" s="73">
        <f t="shared" si="1"/>
        <v>614.0294111062093</v>
      </c>
      <c r="I10" s="117"/>
      <c r="J10" s="118"/>
      <c r="K10" s="119"/>
      <c r="L10" s="120"/>
      <c r="M10" s="8"/>
      <c r="N10" s="8"/>
    </row>
    <row r="11" spans="1:16" ht="15" customHeight="1" x14ac:dyDescent="0.2">
      <c r="A11" s="38">
        <v>30</v>
      </c>
      <c r="B11" s="73">
        <f t="shared" si="2"/>
        <v>1421.7537164444443</v>
      </c>
      <c r="C11" s="74">
        <f t="shared" si="0"/>
        <v>1540.2857142857142</v>
      </c>
      <c r="D11" s="73">
        <f t="shared" si="3"/>
        <v>495.20185714285714</v>
      </c>
      <c r="E11" s="38">
        <v>30</v>
      </c>
      <c r="F11" s="73">
        <f t="shared" si="4"/>
        <v>1848.279971222222</v>
      </c>
      <c r="G11" s="73">
        <f t="shared" si="1"/>
        <v>594.22201074794441</v>
      </c>
      <c r="I11" s="221" t="s">
        <v>60</v>
      </c>
      <c r="J11" s="222"/>
      <c r="K11" s="222"/>
      <c r="L11" s="223"/>
      <c r="M11" s="8"/>
      <c r="N11" s="8"/>
    </row>
    <row r="12" spans="1:16" ht="15" customHeight="1" thickBot="1" x14ac:dyDescent="0.25">
      <c r="A12" s="38">
        <v>29</v>
      </c>
      <c r="B12" s="73">
        <f t="shared" si="2"/>
        <v>1374.3619258962963</v>
      </c>
      <c r="C12" s="74">
        <f t="shared" si="0"/>
        <v>1488.9428571428573</v>
      </c>
      <c r="D12" s="73">
        <f t="shared" si="3"/>
        <v>478.69512857142865</v>
      </c>
      <c r="E12" s="38">
        <v>29</v>
      </c>
      <c r="F12" s="73">
        <f t="shared" si="4"/>
        <v>1786.6706388481482</v>
      </c>
      <c r="G12" s="73">
        <f t="shared" si="1"/>
        <v>574.41461038967964</v>
      </c>
      <c r="I12" s="224"/>
      <c r="J12" s="225"/>
      <c r="K12" s="225"/>
      <c r="L12" s="226"/>
      <c r="M12" s="8"/>
      <c r="N12" s="8"/>
    </row>
    <row r="13" spans="1:16" ht="15" customHeight="1" thickBot="1" x14ac:dyDescent="0.25">
      <c r="A13" s="38">
        <v>28</v>
      </c>
      <c r="B13" s="73">
        <f t="shared" si="2"/>
        <v>1326.9701353481482</v>
      </c>
      <c r="C13" s="74">
        <f t="shared" si="0"/>
        <v>1437.6000000000004</v>
      </c>
      <c r="D13" s="73">
        <f t="shared" si="3"/>
        <v>462.18840000000012</v>
      </c>
      <c r="E13" s="38">
        <v>28</v>
      </c>
      <c r="F13" s="73">
        <f t="shared" si="4"/>
        <v>1725.0613064740742</v>
      </c>
      <c r="G13" s="73">
        <f t="shared" si="1"/>
        <v>554.60721003141487</v>
      </c>
      <c r="I13" s="114"/>
      <c r="J13" s="132" t="s">
        <v>53</v>
      </c>
      <c r="K13" s="130" t="s">
        <v>54</v>
      </c>
      <c r="L13" s="139" t="s">
        <v>55</v>
      </c>
      <c r="M13" s="8"/>
      <c r="N13" s="8"/>
    </row>
    <row r="14" spans="1:16" ht="15" customHeight="1" x14ac:dyDescent="0.2">
      <c r="A14" s="38">
        <v>27</v>
      </c>
      <c r="B14" s="73">
        <f t="shared" si="2"/>
        <v>1279.5783448</v>
      </c>
      <c r="C14" s="74">
        <f t="shared" si="0"/>
        <v>1386.2571428571428</v>
      </c>
      <c r="D14" s="73">
        <f t="shared" si="3"/>
        <v>445.68167142857141</v>
      </c>
      <c r="E14" s="38">
        <v>27</v>
      </c>
      <c r="F14" s="73">
        <f t="shared" si="4"/>
        <v>1663.4519741000001</v>
      </c>
      <c r="G14" s="73">
        <f t="shared" si="1"/>
        <v>534.79980967315009</v>
      </c>
      <c r="I14" s="227" t="s">
        <v>56</v>
      </c>
      <c r="J14" s="246">
        <f>IF(L8&gt;=J4,L8,J4)</f>
        <v>1989.3</v>
      </c>
      <c r="K14" s="242">
        <v>24.35</v>
      </c>
      <c r="L14" s="248">
        <f>J14*K14%</f>
        <v>484.39455000000004</v>
      </c>
      <c r="M14" s="8"/>
      <c r="N14" s="8"/>
    </row>
    <row r="15" spans="1:16" ht="15" customHeight="1" thickBot="1" x14ac:dyDescent="0.25">
      <c r="A15" s="38">
        <v>26</v>
      </c>
      <c r="B15" s="73">
        <f t="shared" si="2"/>
        <v>1232.1865542518519</v>
      </c>
      <c r="C15" s="74">
        <f t="shared" si="0"/>
        <v>1334.9142857142858</v>
      </c>
      <c r="D15" s="73">
        <f t="shared" si="3"/>
        <v>429.17494285714292</v>
      </c>
      <c r="E15" s="38">
        <v>26</v>
      </c>
      <c r="F15" s="73">
        <f t="shared" si="4"/>
        <v>1601.8426417259259</v>
      </c>
      <c r="G15" s="73">
        <f t="shared" si="1"/>
        <v>514.99240931488521</v>
      </c>
      <c r="I15" s="228"/>
      <c r="J15" s="247"/>
      <c r="K15" s="243"/>
      <c r="L15" s="249"/>
      <c r="M15" s="8"/>
      <c r="N15" s="8"/>
    </row>
    <row r="16" spans="1:16" ht="15" customHeight="1" x14ac:dyDescent="0.2">
      <c r="A16" s="38">
        <v>25</v>
      </c>
      <c r="B16" s="73">
        <f t="shared" si="2"/>
        <v>1184.7947637037037</v>
      </c>
      <c r="C16" s="74">
        <f t="shared" si="0"/>
        <v>1283.5714285714287</v>
      </c>
      <c r="D16" s="73">
        <f t="shared" si="3"/>
        <v>412.66821428571433</v>
      </c>
      <c r="E16" s="38">
        <v>25</v>
      </c>
      <c r="F16" s="73">
        <f t="shared" si="4"/>
        <v>1540.2333093518519</v>
      </c>
      <c r="G16" s="73">
        <f t="shared" si="1"/>
        <v>495.18500895662038</v>
      </c>
      <c r="I16" s="244" t="s">
        <v>57</v>
      </c>
      <c r="J16" s="246">
        <f>IF(L8&gt;=L4,L8,L4)</f>
        <v>1424.4</v>
      </c>
      <c r="K16" s="242">
        <v>7.8</v>
      </c>
      <c r="L16" s="253">
        <f>J16*K16%</f>
        <v>111.1032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1137.4029731555554</v>
      </c>
      <c r="C17" s="74">
        <f t="shared" si="0"/>
        <v>1232.2285714285713</v>
      </c>
      <c r="D17" s="73">
        <f t="shared" si="3"/>
        <v>396.16148571428567</v>
      </c>
      <c r="E17" s="38">
        <v>24</v>
      </c>
      <c r="F17" s="73">
        <f t="shared" si="4"/>
        <v>1478.6239769777778</v>
      </c>
      <c r="G17" s="73">
        <f t="shared" si="1"/>
        <v>475.37760859835561</v>
      </c>
      <c r="I17" s="245"/>
      <c r="J17" s="247"/>
      <c r="K17" s="243">
        <v>0.2</v>
      </c>
      <c r="L17" s="254"/>
      <c r="M17" s="8"/>
      <c r="N17" s="8"/>
    </row>
    <row r="18" spans="1:14" ht="16.5" customHeight="1" thickBot="1" x14ac:dyDescent="0.25">
      <c r="A18" s="38">
        <v>23</v>
      </c>
      <c r="B18" s="73">
        <f t="shared" si="2"/>
        <v>1090.0111826074074</v>
      </c>
      <c r="C18" s="74">
        <f t="shared" si="0"/>
        <v>1180.8857142857144</v>
      </c>
      <c r="D18" s="73">
        <f t="shared" si="3"/>
        <v>379.65475714285719</v>
      </c>
      <c r="E18" s="38">
        <v>23</v>
      </c>
      <c r="F18" s="73">
        <f t="shared" si="4"/>
        <v>1417.0146446037036</v>
      </c>
      <c r="G18" s="73">
        <f t="shared" si="1"/>
        <v>455.57020824009072</v>
      </c>
      <c r="I18" s="251" t="s">
        <v>61</v>
      </c>
      <c r="J18" s="252"/>
      <c r="K18" s="131">
        <f>(K14+K16)</f>
        <v>32.15</v>
      </c>
      <c r="L18" s="127">
        <f>SUM(L14:L17)</f>
        <v>595.49775</v>
      </c>
      <c r="M18" s="8"/>
      <c r="N18" s="8"/>
    </row>
    <row r="19" spans="1:14" ht="15" customHeight="1" x14ac:dyDescent="0.2">
      <c r="A19" s="38">
        <v>22</v>
      </c>
      <c r="B19" s="73">
        <f t="shared" si="2"/>
        <v>1042.6193920592593</v>
      </c>
      <c r="C19" s="74">
        <f t="shared" si="0"/>
        <v>1129.542857142857</v>
      </c>
      <c r="D19" s="73">
        <f t="shared" si="3"/>
        <v>363.14802857142854</v>
      </c>
      <c r="E19" s="38">
        <v>22</v>
      </c>
      <c r="F19" s="73">
        <f t="shared" si="4"/>
        <v>1355.4053122296298</v>
      </c>
      <c r="G19" s="73">
        <f t="shared" si="1"/>
        <v>435.76280788182601</v>
      </c>
      <c r="I19" s="123"/>
      <c r="J19" s="124"/>
      <c r="K19" s="125"/>
      <c r="L19" s="126"/>
      <c r="M19" s="8"/>
      <c r="N19" s="8"/>
    </row>
    <row r="20" spans="1:14" ht="15" customHeight="1" x14ac:dyDescent="0.2">
      <c r="A20" s="38">
        <v>21</v>
      </c>
      <c r="B20" s="73">
        <f t="shared" si="2"/>
        <v>995.22760151111117</v>
      </c>
      <c r="C20" s="74">
        <f t="shared" si="0"/>
        <v>1078.2</v>
      </c>
      <c r="D20" s="73">
        <f t="shared" si="3"/>
        <v>346.6413</v>
      </c>
      <c r="E20" s="38">
        <v>21</v>
      </c>
      <c r="F20" s="73">
        <f t="shared" si="4"/>
        <v>1293.7959798555555</v>
      </c>
      <c r="G20" s="73">
        <f t="shared" si="1"/>
        <v>415.95540752356112</v>
      </c>
      <c r="I20" s="273" t="s">
        <v>76</v>
      </c>
      <c r="J20" s="273"/>
      <c r="K20" s="273"/>
      <c r="L20" s="273"/>
      <c r="M20" s="273"/>
      <c r="N20" s="273"/>
    </row>
    <row r="21" spans="1:14" ht="15" customHeight="1" x14ac:dyDescent="0.2">
      <c r="A21" s="38">
        <v>20</v>
      </c>
      <c r="B21" s="73">
        <f t="shared" si="2"/>
        <v>947.83581096296291</v>
      </c>
      <c r="C21" s="74">
        <f t="shared" si="0"/>
        <v>1026.8571428571429</v>
      </c>
      <c r="D21" s="73">
        <f t="shared" si="3"/>
        <v>330.13457142857146</v>
      </c>
      <c r="E21" s="38">
        <v>20</v>
      </c>
      <c r="F21" s="73">
        <f t="shared" si="4"/>
        <v>1232.1866474814815</v>
      </c>
      <c r="G21" s="73">
        <f t="shared" si="1"/>
        <v>396.14800716529629</v>
      </c>
      <c r="I21" s="273"/>
      <c r="J21" s="273"/>
      <c r="K21" s="273"/>
      <c r="L21" s="273"/>
      <c r="M21" s="273"/>
      <c r="N21" s="273"/>
    </row>
    <row r="22" spans="1:14" ht="15" customHeight="1" thickBot="1" x14ac:dyDescent="0.25">
      <c r="A22" s="38">
        <v>19</v>
      </c>
      <c r="B22" s="73">
        <f t="shared" si="2"/>
        <v>900.44402041481476</v>
      </c>
      <c r="C22" s="74">
        <f t="shared" si="0"/>
        <v>975.51428571428573</v>
      </c>
      <c r="D22" s="73">
        <f t="shared" si="3"/>
        <v>313.62784285714287</v>
      </c>
      <c r="E22" s="38">
        <v>19</v>
      </c>
      <c r="F22" s="73">
        <f t="shared" si="4"/>
        <v>1170.5773151074075</v>
      </c>
      <c r="G22" s="73">
        <f t="shared" si="1"/>
        <v>376.34060680703152</v>
      </c>
      <c r="I22" s="35"/>
      <c r="J22" s="19"/>
      <c r="K22" s="8"/>
      <c r="L22" s="112"/>
      <c r="M22" s="8"/>
      <c r="N22" s="8"/>
    </row>
    <row r="23" spans="1:14" ht="15" customHeight="1" x14ac:dyDescent="0.2">
      <c r="A23" s="38">
        <v>18</v>
      </c>
      <c r="B23" s="73">
        <f t="shared" si="2"/>
        <v>853.05222986666661</v>
      </c>
      <c r="C23" s="74">
        <f t="shared" si="0"/>
        <v>924.17142857142869</v>
      </c>
      <c r="D23" s="73">
        <f t="shared" si="3"/>
        <v>297.12111428571433</v>
      </c>
      <c r="E23" s="38">
        <v>18</v>
      </c>
      <c r="F23" s="73">
        <f t="shared" si="4"/>
        <v>1108.9679827333332</v>
      </c>
      <c r="G23" s="73">
        <f t="shared" si="1"/>
        <v>356.53320644876663</v>
      </c>
      <c r="I23" s="219" t="s">
        <v>62</v>
      </c>
      <c r="J23" s="219"/>
      <c r="K23" s="220"/>
      <c r="L23" s="267"/>
      <c r="M23" s="8"/>
      <c r="N23" s="8"/>
    </row>
    <row r="24" spans="1:14" ht="15" customHeight="1" thickBot="1" x14ac:dyDescent="0.25">
      <c r="A24" s="38">
        <v>17</v>
      </c>
      <c r="B24" s="73">
        <f t="shared" si="2"/>
        <v>805.66043931851857</v>
      </c>
      <c r="C24" s="74">
        <f t="shared" si="0"/>
        <v>872.82857142857131</v>
      </c>
      <c r="D24" s="73">
        <f t="shared" si="3"/>
        <v>280.61438571428567</v>
      </c>
      <c r="E24" s="38">
        <v>17</v>
      </c>
      <c r="F24" s="73">
        <f t="shared" si="4"/>
        <v>1047.3586503592594</v>
      </c>
      <c r="G24" s="73">
        <f t="shared" si="1"/>
        <v>336.72580609050192</v>
      </c>
      <c r="I24" s="219"/>
      <c r="J24" s="219"/>
      <c r="K24" s="220"/>
      <c r="L24" s="268"/>
      <c r="M24" s="8"/>
      <c r="N24" s="8"/>
    </row>
    <row r="25" spans="1:14" ht="15" customHeight="1" thickBot="1" x14ac:dyDescent="0.25">
      <c r="A25" s="38">
        <v>16</v>
      </c>
      <c r="B25" s="73">
        <f t="shared" si="2"/>
        <v>758.26864877037031</v>
      </c>
      <c r="C25" s="74">
        <f t="shared" si="0"/>
        <v>821.48571428571427</v>
      </c>
      <c r="D25" s="73">
        <f t="shared" si="3"/>
        <v>264.10765714285714</v>
      </c>
      <c r="E25" s="38">
        <v>16</v>
      </c>
      <c r="F25" s="73">
        <f t="shared" si="4"/>
        <v>985.74931798518514</v>
      </c>
      <c r="G25" s="73">
        <f t="shared" si="1"/>
        <v>316.91840573223703</v>
      </c>
      <c r="I25" s="35"/>
      <c r="J25" s="19"/>
      <c r="K25" s="8"/>
      <c r="L25" s="112"/>
      <c r="M25" s="8"/>
      <c r="N25" s="8"/>
    </row>
    <row r="26" spans="1:14" ht="15" customHeight="1" x14ac:dyDescent="0.2">
      <c r="A26" s="38">
        <v>15</v>
      </c>
      <c r="B26" s="73">
        <f t="shared" si="2"/>
        <v>710.87685822222215</v>
      </c>
      <c r="C26" s="74">
        <f t="shared" si="0"/>
        <v>770.14285714285711</v>
      </c>
      <c r="D26" s="73">
        <f t="shared" si="3"/>
        <v>247.60092857142857</v>
      </c>
      <c r="E26" s="38">
        <v>15</v>
      </c>
      <c r="F26" s="73">
        <f t="shared" si="4"/>
        <v>924.139985611111</v>
      </c>
      <c r="G26" s="73">
        <f t="shared" si="1"/>
        <v>297.1110053739722</v>
      </c>
      <c r="I26" s="219" t="s">
        <v>67</v>
      </c>
      <c r="J26" s="219"/>
      <c r="K26" s="220"/>
      <c r="L26" s="298"/>
      <c r="M26" s="8"/>
      <c r="N26" s="8"/>
    </row>
    <row r="27" spans="1:14" ht="15" customHeight="1" thickBot="1" x14ac:dyDescent="0.25">
      <c r="A27" s="38">
        <v>14</v>
      </c>
      <c r="B27" s="73">
        <f t="shared" si="2"/>
        <v>663.48506767407412</v>
      </c>
      <c r="C27" s="74">
        <f t="shared" si="0"/>
        <v>718.80000000000018</v>
      </c>
      <c r="D27" s="73">
        <f t="shared" si="3"/>
        <v>231.09420000000006</v>
      </c>
      <c r="E27" s="38">
        <v>14</v>
      </c>
      <c r="F27" s="73">
        <f t="shared" si="4"/>
        <v>862.53065323703709</v>
      </c>
      <c r="G27" s="73">
        <f t="shared" si="1"/>
        <v>277.30360501570743</v>
      </c>
      <c r="I27" s="219"/>
      <c r="J27" s="219"/>
      <c r="K27" s="220"/>
      <c r="L27" s="299"/>
      <c r="M27" s="8"/>
      <c r="N27" s="8"/>
    </row>
    <row r="28" spans="1:14" ht="15" customHeight="1" thickBot="1" x14ac:dyDescent="0.25">
      <c r="A28" s="38">
        <v>13</v>
      </c>
      <c r="B28" s="73">
        <f t="shared" si="2"/>
        <v>616.09327712592597</v>
      </c>
      <c r="C28" s="74">
        <f t="shared" si="0"/>
        <v>667.45714285714291</v>
      </c>
      <c r="D28" s="73">
        <f t="shared" si="3"/>
        <v>214.58747142857146</v>
      </c>
      <c r="E28" s="38">
        <v>13</v>
      </c>
      <c r="F28" s="73">
        <f t="shared" si="4"/>
        <v>800.92132086296294</v>
      </c>
      <c r="G28" s="73">
        <f t="shared" si="1"/>
        <v>257.4962046574426</v>
      </c>
      <c r="I28" s="35"/>
      <c r="J28" s="19"/>
      <c r="K28" s="8"/>
      <c r="L28" s="112"/>
      <c r="M28" s="8"/>
      <c r="N28" s="8"/>
    </row>
    <row r="29" spans="1:14" ht="15" customHeight="1" x14ac:dyDescent="0.2">
      <c r="A29" s="38">
        <v>12</v>
      </c>
      <c r="B29" s="73">
        <f t="shared" si="2"/>
        <v>568.7014865777777</v>
      </c>
      <c r="C29" s="74">
        <f t="shared" si="0"/>
        <v>616.11428571428564</v>
      </c>
      <c r="D29" s="73">
        <f t="shared" si="3"/>
        <v>198.08074285714284</v>
      </c>
      <c r="E29" s="38">
        <v>12</v>
      </c>
      <c r="F29" s="73">
        <f t="shared" si="4"/>
        <v>739.31198848888891</v>
      </c>
      <c r="G29" s="73">
        <f t="shared" si="1"/>
        <v>237.6888042991778</v>
      </c>
      <c r="I29" s="221" t="s">
        <v>63</v>
      </c>
      <c r="J29" s="222"/>
      <c r="K29" s="222"/>
      <c r="L29" s="223"/>
      <c r="M29" s="8"/>
      <c r="N29" s="8"/>
    </row>
    <row r="30" spans="1:14" ht="15" customHeight="1" thickBot="1" x14ac:dyDescent="0.25">
      <c r="A30" s="38">
        <v>11</v>
      </c>
      <c r="B30" s="73">
        <f t="shared" si="2"/>
        <v>521.30969602962966</v>
      </c>
      <c r="C30" s="74">
        <f t="shared" si="0"/>
        <v>564.77142857142849</v>
      </c>
      <c r="D30" s="73">
        <f t="shared" si="3"/>
        <v>181.57401428571427</v>
      </c>
      <c r="E30" s="38">
        <v>11</v>
      </c>
      <c r="F30" s="73">
        <f t="shared" si="4"/>
        <v>677.70265611481489</v>
      </c>
      <c r="G30" s="73">
        <f t="shared" si="1"/>
        <v>217.881403940913</v>
      </c>
      <c r="I30" s="224"/>
      <c r="J30" s="225"/>
      <c r="K30" s="225"/>
      <c r="L30" s="226"/>
      <c r="M30" s="8"/>
      <c r="N30" s="8"/>
    </row>
    <row r="31" spans="1:14" ht="15" customHeight="1" thickBot="1" x14ac:dyDescent="0.25">
      <c r="A31" s="38">
        <v>10</v>
      </c>
      <c r="B31" s="73">
        <f t="shared" si="2"/>
        <v>473.91790548148145</v>
      </c>
      <c r="C31" s="74">
        <f t="shared" si="0"/>
        <v>513.42857142857144</v>
      </c>
      <c r="D31" s="73">
        <f t="shared" si="3"/>
        <v>165.06728571428573</v>
      </c>
      <c r="E31" s="38">
        <v>10</v>
      </c>
      <c r="F31" s="73">
        <f t="shared" si="4"/>
        <v>616.09332374074074</v>
      </c>
      <c r="G31" s="73">
        <f t="shared" si="1"/>
        <v>198.07400358264815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ht="15" customHeight="1" x14ac:dyDescent="0.2">
      <c r="A32" s="38">
        <v>9</v>
      </c>
      <c r="B32" s="73">
        <f t="shared" si="2"/>
        <v>426.5261149333333</v>
      </c>
      <c r="C32" s="74">
        <f t="shared" si="0"/>
        <v>462.08571428571435</v>
      </c>
      <c r="D32" s="73">
        <f t="shared" si="3"/>
        <v>148.56055714285716</v>
      </c>
      <c r="E32" s="38">
        <v>9</v>
      </c>
      <c r="F32" s="73">
        <f t="shared" si="4"/>
        <v>554.4839913666666</v>
      </c>
      <c r="G32" s="73">
        <f t="shared" si="1"/>
        <v>178.26660322438332</v>
      </c>
      <c r="I32" s="260">
        <f>((L23/37.5*7.5*5)/7)*30*$C$43</f>
        <v>0</v>
      </c>
      <c r="J32" s="262">
        <f>IF(L26&lt;I32,I32,L26)</f>
        <v>0</v>
      </c>
      <c r="K32" s="264">
        <v>32.15</v>
      </c>
      <c r="L32" s="253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379.13432438518515</v>
      </c>
      <c r="C33" s="74">
        <f t="shared" si="0"/>
        <v>410.74285714285713</v>
      </c>
      <c r="D33" s="73">
        <f t="shared" si="3"/>
        <v>132.05382857142857</v>
      </c>
      <c r="E33" s="38">
        <v>8</v>
      </c>
      <c r="F33" s="73">
        <f t="shared" si="4"/>
        <v>492.87465899259257</v>
      </c>
      <c r="G33" s="73">
        <f t="shared" si="1"/>
        <v>158.45920286611852</v>
      </c>
      <c r="I33" s="261"/>
      <c r="J33" s="263"/>
      <c r="K33" s="265"/>
      <c r="L33" s="266"/>
      <c r="M33" s="8"/>
      <c r="N33" s="8"/>
    </row>
    <row r="34" spans="1:14" ht="15" customHeight="1" thickBot="1" x14ac:dyDescent="0.25">
      <c r="A34" s="38">
        <v>7</v>
      </c>
      <c r="B34" s="73">
        <f t="shared" si="2"/>
        <v>331.74253383703706</v>
      </c>
      <c r="C34" s="74">
        <f t="shared" si="0"/>
        <v>359.40000000000009</v>
      </c>
      <c r="D34" s="73">
        <f t="shared" si="3"/>
        <v>115.54710000000003</v>
      </c>
      <c r="E34" s="38">
        <v>7</v>
      </c>
      <c r="F34" s="73">
        <f t="shared" si="4"/>
        <v>431.26532661851854</v>
      </c>
      <c r="G34" s="73">
        <f t="shared" si="1"/>
        <v>138.65180250785372</v>
      </c>
      <c r="I34" s="255" t="s">
        <v>64</v>
      </c>
      <c r="J34" s="256"/>
      <c r="K34" s="257"/>
      <c r="L34" s="127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284.35074328888885</v>
      </c>
      <c r="C35" s="74">
        <f t="shared" si="0"/>
        <v>308.05714285714282</v>
      </c>
      <c r="D35" s="73">
        <f t="shared" si="3"/>
        <v>99.040371428571419</v>
      </c>
      <c r="E35" s="38">
        <v>6</v>
      </c>
      <c r="F35" s="73">
        <f t="shared" si="4"/>
        <v>369.65599424444446</v>
      </c>
      <c r="G35" s="73">
        <f t="shared" si="1"/>
        <v>118.8444021495889</v>
      </c>
      <c r="I35" s="35"/>
      <c r="J35" s="19"/>
      <c r="K35" s="8"/>
      <c r="L35" s="112"/>
      <c r="M35" s="8"/>
      <c r="N35" s="133"/>
    </row>
    <row r="36" spans="1:14" ht="15" customHeight="1" x14ac:dyDescent="0.2">
      <c r="A36" s="38">
        <v>5</v>
      </c>
      <c r="B36" s="73">
        <f t="shared" si="2"/>
        <v>236.95895274074073</v>
      </c>
      <c r="C36" s="74">
        <f t="shared" si="0"/>
        <v>256.71428571428572</v>
      </c>
      <c r="D36" s="73">
        <f t="shared" si="3"/>
        <v>82.533642857142866</v>
      </c>
      <c r="E36" s="38">
        <v>5</v>
      </c>
      <c r="F36" s="73">
        <f t="shared" si="4"/>
        <v>308.04666187037037</v>
      </c>
      <c r="G36" s="73">
        <f t="shared" si="1"/>
        <v>99.037001791324073</v>
      </c>
      <c r="I36" s="258" t="s">
        <v>120</v>
      </c>
      <c r="J36" s="258"/>
      <c r="K36" s="258"/>
      <c r="L36" s="258"/>
      <c r="M36" s="259" t="s">
        <v>98</v>
      </c>
      <c r="N36" s="133"/>
    </row>
    <row r="37" spans="1:14" ht="15" customHeight="1" x14ac:dyDescent="0.2">
      <c r="A37" s="38">
        <v>4</v>
      </c>
      <c r="B37" s="73">
        <f t="shared" si="2"/>
        <v>189.56716219259258</v>
      </c>
      <c r="C37" s="74">
        <f t="shared" si="0"/>
        <v>205.37142857142857</v>
      </c>
      <c r="D37" s="73">
        <f t="shared" si="3"/>
        <v>66.026914285714284</v>
      </c>
      <c r="E37" s="38">
        <v>4</v>
      </c>
      <c r="F37" s="73">
        <f t="shared" si="4"/>
        <v>246.43732949629629</v>
      </c>
      <c r="G37" s="73">
        <f t="shared" si="1"/>
        <v>79.229601433059258</v>
      </c>
      <c r="I37" s="258"/>
      <c r="J37" s="258"/>
      <c r="K37" s="258"/>
      <c r="L37" s="258"/>
      <c r="M37" s="259"/>
      <c r="N37" s="133"/>
    </row>
    <row r="38" spans="1:14" ht="15" customHeight="1" x14ac:dyDescent="0.2">
      <c r="A38" s="38">
        <v>3</v>
      </c>
      <c r="B38" s="73">
        <f t="shared" si="2"/>
        <v>142.17537164444443</v>
      </c>
      <c r="C38" s="74">
        <f t="shared" si="0"/>
        <v>154.02857142857141</v>
      </c>
      <c r="D38" s="73">
        <f t="shared" si="3"/>
        <v>49.520185714285709</v>
      </c>
      <c r="E38" s="38">
        <v>3</v>
      </c>
      <c r="F38" s="73">
        <f t="shared" si="4"/>
        <v>184.82799712222223</v>
      </c>
      <c r="G38" s="73">
        <f t="shared" si="1"/>
        <v>59.422201074794451</v>
      </c>
      <c r="I38" s="5"/>
    </row>
    <row r="39" spans="1:14" ht="15" customHeight="1" x14ac:dyDescent="0.2">
      <c r="A39" s="38">
        <v>2</v>
      </c>
      <c r="B39" s="73">
        <f t="shared" si="2"/>
        <v>94.783581096296288</v>
      </c>
      <c r="C39" s="74">
        <f t="shared" si="0"/>
        <v>102.68571428571428</v>
      </c>
      <c r="D39" s="73">
        <f t="shared" si="3"/>
        <v>33.013457142857142</v>
      </c>
      <c r="E39" s="38">
        <v>2</v>
      </c>
      <c r="F39" s="73">
        <f t="shared" si="4"/>
        <v>123.21866474814814</v>
      </c>
      <c r="G39" s="73">
        <f t="shared" si="1"/>
        <v>39.614800716529629</v>
      </c>
      <c r="I39" s="5"/>
    </row>
    <row r="40" spans="1:14" ht="15" customHeight="1" x14ac:dyDescent="0.2">
      <c r="A40" s="39">
        <v>1</v>
      </c>
      <c r="B40" s="75">
        <f t="shared" si="2"/>
        <v>47.391790548148144</v>
      </c>
      <c r="C40" s="76">
        <f t="shared" si="0"/>
        <v>51.342857142857142</v>
      </c>
      <c r="D40" s="75">
        <f t="shared" si="3"/>
        <v>16.506728571428571</v>
      </c>
      <c r="E40" s="39">
        <v>1</v>
      </c>
      <c r="F40" s="75">
        <f t="shared" si="4"/>
        <v>61.609332374074071</v>
      </c>
      <c r="G40" s="75">
        <f t="shared" si="1"/>
        <v>19.807400358264815</v>
      </c>
      <c r="I40" s="5"/>
    </row>
    <row r="42" spans="1:14" ht="15" hidden="1" thickBot="1" x14ac:dyDescent="0.25">
      <c r="C42" s="208" t="s">
        <v>94</v>
      </c>
    </row>
    <row r="43" spans="1:14" s="21" customFormat="1" ht="31.5" hidden="1" customHeight="1" thickBot="1" x14ac:dyDescent="0.25">
      <c r="A43" s="187"/>
      <c r="B43" s="203" t="s">
        <v>13</v>
      </c>
      <c r="C43" s="204">
        <v>11.98</v>
      </c>
      <c r="D43" s="188"/>
      <c r="E43" s="189"/>
      <c r="F43" s="188"/>
      <c r="G43" s="188"/>
      <c r="I43" s="190"/>
    </row>
  </sheetData>
  <sheetProtection algorithmName="SHA-512" hashValue="wAY5UoYdXAwcaon2LaCf2VTkNMuJjtIsPqnMJpOAKL9SJGA5jfT79U79U/DiNz59ZEvIlyCc/PbCiCVKi0YM8g==" saltValue="ywTKN9Bel66hR9nhph+Ntw==" spinCount="100000" sheet="1" objects="1" scenarios="1"/>
  <protectedRanges>
    <protectedRange sqref="M36" name="CALCULO RC"/>
    <protectedRange sqref="L23" name="DED_1"/>
    <protectedRange sqref="L8" name="RET TC_2"/>
    <protectedRange sqref="L26" name="RET TP_1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 E INDEMNIZACION" xr:uid="{00000000-0004-0000-03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3"/>
  <sheetViews>
    <sheetView topLeftCell="A28" zoomScale="96" zoomScaleNormal="96" workbookViewId="0">
      <selection activeCell="N45" sqref="N45"/>
    </sheetView>
  </sheetViews>
  <sheetFormatPr baseColWidth="10" defaultColWidth="11.5703125" defaultRowHeight="14.25" x14ac:dyDescent="0.2"/>
  <cols>
    <col min="1" max="1" width="18.42578125" style="4" customWidth="1"/>
    <col min="2" max="2" width="23.7109375" style="4" customWidth="1"/>
    <col min="3" max="3" width="8.28515625" style="6" hidden="1" customWidth="1"/>
    <col min="4" max="4" width="18.42578125" style="4" customWidth="1"/>
    <col min="5" max="5" width="15.28515625" style="5" customWidth="1"/>
    <col min="6" max="6" width="24.7109375" style="4" customWidth="1"/>
    <col min="7" max="7" width="18.42578125" style="4" customWidth="1"/>
    <col min="8" max="8" width="7.7109375" style="5" customWidth="1"/>
    <col min="9" max="9" width="17.7109375" style="7" customWidth="1"/>
    <col min="10" max="10" width="17.7109375" style="5" customWidth="1"/>
    <col min="11" max="11" width="18" style="5" customWidth="1"/>
    <col min="12" max="12" width="16" style="5" customWidth="1"/>
    <col min="13" max="13" width="16.140625" style="5" customWidth="1"/>
    <col min="14" max="14" width="13.28515625" style="5" bestFit="1" customWidth="1"/>
    <col min="15" max="16384" width="11.5703125" style="5"/>
  </cols>
  <sheetData>
    <row r="1" spans="1:14" s="8" customFormat="1" ht="42.6" customHeight="1" x14ac:dyDescent="0.2">
      <c r="A1" s="236" t="s">
        <v>112</v>
      </c>
      <c r="B1" s="237"/>
      <c r="C1" s="237"/>
      <c r="D1" s="237"/>
      <c r="E1" s="237"/>
      <c r="F1" s="237"/>
      <c r="G1" s="237"/>
      <c r="I1" s="239" t="s">
        <v>119</v>
      </c>
      <c r="J1" s="240"/>
      <c r="K1" s="240"/>
      <c r="L1" s="240"/>
      <c r="M1" s="241"/>
    </row>
    <row r="2" spans="1:14" s="36" customFormat="1" ht="24.75" customHeight="1" x14ac:dyDescent="0.2">
      <c r="A2" s="44"/>
      <c r="B2" s="300" t="s">
        <v>45</v>
      </c>
      <c r="C2" s="300"/>
      <c r="D2" s="301"/>
      <c r="E2" s="42"/>
      <c r="F2" s="300" t="s">
        <v>46</v>
      </c>
      <c r="G2" s="301"/>
      <c r="I2" s="229" t="s">
        <v>48</v>
      </c>
      <c r="J2" s="229"/>
      <c r="K2" s="229"/>
      <c r="L2" s="229" t="s">
        <v>52</v>
      </c>
      <c r="M2" s="229"/>
    </row>
    <row r="3" spans="1:14" s="27" customFormat="1" ht="38.25" x14ac:dyDescent="0.2">
      <c r="A3" s="43" t="s">
        <v>43</v>
      </c>
      <c r="B3" s="65" t="s">
        <v>44</v>
      </c>
      <c r="C3" s="213" t="s">
        <v>14</v>
      </c>
      <c r="D3" s="67" t="s">
        <v>116</v>
      </c>
      <c r="E3" s="40" t="s">
        <v>43</v>
      </c>
      <c r="F3" s="65" t="s">
        <v>44</v>
      </c>
      <c r="G3" s="67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37">
        <v>37.5</v>
      </c>
      <c r="B4" s="71">
        <f>PARAMETROS!B6</f>
        <v>1672.6505570833333</v>
      </c>
      <c r="C4" s="72"/>
      <c r="D4" s="71"/>
      <c r="E4" s="37">
        <v>37.5</v>
      </c>
      <c r="F4" s="71">
        <f>PARAMETROS!C6</f>
        <v>2174.4456368055553</v>
      </c>
      <c r="G4" s="71">
        <f>IF(F4&gt;$K$4,$K$4*$K$18%,F4*$K$18%)</f>
        <v>699.084272232986</v>
      </c>
      <c r="I4" s="238">
        <v>1</v>
      </c>
      <c r="J4" s="234">
        <v>1989.3</v>
      </c>
      <c r="K4" s="234">
        <v>5101.2</v>
      </c>
      <c r="L4" s="232">
        <v>1424.4</v>
      </c>
      <c r="M4" s="234">
        <v>5101.2</v>
      </c>
      <c r="N4" s="8"/>
    </row>
    <row r="5" spans="1:14" ht="15" customHeight="1" x14ac:dyDescent="0.2">
      <c r="A5" s="38">
        <v>36</v>
      </c>
      <c r="B5" s="73">
        <f>PRODUCT(B$4,A5)/A$4</f>
        <v>1605.7445347999999</v>
      </c>
      <c r="C5" s="74">
        <f t="shared" ref="C5:C40" si="0">(A5/$A$4*7.5*5)/7*30*$C$43</f>
        <v>1848.3428571428574</v>
      </c>
      <c r="D5" s="73">
        <f>IF(B5&lt;C5,C5*$K$18%,B5*$K$18%)</f>
        <v>594.24222857142865</v>
      </c>
      <c r="E5" s="38">
        <v>36</v>
      </c>
      <c r="F5" s="73">
        <f>PRODUCT(F$4,E5)/E$4</f>
        <v>2087.467811333333</v>
      </c>
      <c r="G5" s="73">
        <f t="shared" ref="G5:G40" si="1">IF(F5&gt;$K$4,$K$4*$K$18%,F5*$K$18%)</f>
        <v>671.12090134366656</v>
      </c>
      <c r="I5" s="238"/>
      <c r="J5" s="235"/>
      <c r="K5" s="235"/>
      <c r="L5" s="233"/>
      <c r="M5" s="235"/>
      <c r="N5" s="8"/>
    </row>
    <row r="6" spans="1:14" ht="15" customHeight="1" x14ac:dyDescent="0.2">
      <c r="A6" s="38">
        <v>35</v>
      </c>
      <c r="B6" s="73">
        <f t="shared" ref="B6:B40" si="2">PRODUCT(B$4,A6)/A$4</f>
        <v>1561.1405199444443</v>
      </c>
      <c r="C6" s="74">
        <f t="shared" si="0"/>
        <v>1797</v>
      </c>
      <c r="D6" s="73">
        <f t="shared" ref="D6:D40" si="3">IF(B6&lt;C6,C6*$K$18%,B6*$K$18%)</f>
        <v>577.7355</v>
      </c>
      <c r="E6" s="38">
        <v>35</v>
      </c>
      <c r="F6" s="73">
        <f t="shared" ref="F6:F40" si="4">PRODUCT(F$4,E6)/E$4</f>
        <v>2029.4825943518515</v>
      </c>
      <c r="G6" s="73">
        <f t="shared" si="1"/>
        <v>652.47865408412031</v>
      </c>
      <c r="I6" s="35"/>
      <c r="J6" s="8"/>
      <c r="K6" s="8"/>
      <c r="L6" s="112"/>
      <c r="M6" s="8"/>
      <c r="N6" s="8"/>
    </row>
    <row r="7" spans="1:14" ht="15" customHeight="1" thickBot="1" x14ac:dyDescent="0.25">
      <c r="A7" s="38">
        <v>34</v>
      </c>
      <c r="B7" s="73">
        <f t="shared" si="2"/>
        <v>1516.5365050888888</v>
      </c>
      <c r="C7" s="74">
        <f t="shared" si="0"/>
        <v>1745.6571428571426</v>
      </c>
      <c r="D7" s="73">
        <f t="shared" si="3"/>
        <v>561.22877142857135</v>
      </c>
      <c r="E7" s="38">
        <v>34</v>
      </c>
      <c r="F7" s="73">
        <f t="shared" si="4"/>
        <v>1971.49737737037</v>
      </c>
      <c r="G7" s="73">
        <f t="shared" si="1"/>
        <v>633.83640682457394</v>
      </c>
      <c r="I7" s="35"/>
      <c r="J7" s="19"/>
      <c r="K7" s="8"/>
      <c r="L7" s="112"/>
      <c r="M7" s="8"/>
      <c r="N7" s="8"/>
    </row>
    <row r="8" spans="1:14" ht="15" customHeight="1" x14ac:dyDescent="0.2">
      <c r="A8" s="38">
        <v>33</v>
      </c>
      <c r="B8" s="73">
        <f t="shared" si="2"/>
        <v>1471.9324902333333</v>
      </c>
      <c r="C8" s="74">
        <f t="shared" si="0"/>
        <v>1694.3142857142859</v>
      </c>
      <c r="D8" s="73">
        <f t="shared" si="3"/>
        <v>544.72204285714292</v>
      </c>
      <c r="E8" s="38">
        <v>33</v>
      </c>
      <c r="F8" s="73">
        <f t="shared" si="4"/>
        <v>1913.5121603888886</v>
      </c>
      <c r="G8" s="73">
        <f t="shared" si="1"/>
        <v>615.19415956502769</v>
      </c>
      <c r="I8" s="219" t="s">
        <v>88</v>
      </c>
      <c r="J8" s="219"/>
      <c r="K8" s="220"/>
      <c r="L8" s="217">
        <v>0</v>
      </c>
      <c r="M8" s="8"/>
      <c r="N8" s="149"/>
    </row>
    <row r="9" spans="1:14" ht="15" customHeight="1" thickBot="1" x14ac:dyDescent="0.25">
      <c r="A9" s="38">
        <v>32</v>
      </c>
      <c r="B9" s="73">
        <f t="shared" si="2"/>
        <v>1427.3284753777777</v>
      </c>
      <c r="C9" s="74">
        <f t="shared" si="0"/>
        <v>1642.9714285714285</v>
      </c>
      <c r="D9" s="73">
        <f t="shared" si="3"/>
        <v>528.21531428571427</v>
      </c>
      <c r="E9" s="38">
        <v>32</v>
      </c>
      <c r="F9" s="73">
        <f t="shared" si="4"/>
        <v>1855.5269434074071</v>
      </c>
      <c r="G9" s="73">
        <f t="shared" si="1"/>
        <v>596.55191230548144</v>
      </c>
      <c r="I9" s="219"/>
      <c r="J9" s="219"/>
      <c r="K9" s="220"/>
      <c r="L9" s="218"/>
      <c r="M9" s="8"/>
      <c r="N9" s="8"/>
    </row>
    <row r="10" spans="1:14" ht="15" customHeight="1" thickBot="1" x14ac:dyDescent="0.25">
      <c r="A10" s="38">
        <v>31</v>
      </c>
      <c r="B10" s="73">
        <f t="shared" si="2"/>
        <v>1382.7244605222222</v>
      </c>
      <c r="C10" s="74">
        <f t="shared" si="0"/>
        <v>1591.6285714285716</v>
      </c>
      <c r="D10" s="73">
        <f t="shared" si="3"/>
        <v>511.70858571428579</v>
      </c>
      <c r="E10" s="38">
        <v>31</v>
      </c>
      <c r="F10" s="73">
        <f t="shared" si="4"/>
        <v>1797.5417264259258</v>
      </c>
      <c r="G10" s="73">
        <f t="shared" si="1"/>
        <v>577.90966504593518</v>
      </c>
      <c r="I10" s="117"/>
      <c r="J10" s="118"/>
      <c r="K10" s="119"/>
      <c r="L10" s="120"/>
      <c r="M10" s="8"/>
      <c r="N10" s="8"/>
    </row>
    <row r="11" spans="1:14" ht="15" customHeight="1" x14ac:dyDescent="0.2">
      <c r="A11" s="38">
        <v>30</v>
      </c>
      <c r="B11" s="73">
        <f t="shared" si="2"/>
        <v>1338.1204456666667</v>
      </c>
      <c r="C11" s="74">
        <f t="shared" si="0"/>
        <v>1540.2857142857142</v>
      </c>
      <c r="D11" s="73">
        <f t="shared" si="3"/>
        <v>495.20185714285714</v>
      </c>
      <c r="E11" s="38">
        <v>30</v>
      </c>
      <c r="F11" s="73">
        <f t="shared" si="4"/>
        <v>1739.5565094444444</v>
      </c>
      <c r="G11" s="73">
        <f t="shared" si="1"/>
        <v>559.26741778638893</v>
      </c>
      <c r="I11" s="221" t="s">
        <v>60</v>
      </c>
      <c r="J11" s="222"/>
      <c r="K11" s="222"/>
      <c r="L11" s="223"/>
      <c r="M11" s="8"/>
      <c r="N11" s="8"/>
    </row>
    <row r="12" spans="1:14" ht="15" customHeight="1" thickBot="1" x14ac:dyDescent="0.25">
      <c r="A12" s="38">
        <v>29</v>
      </c>
      <c r="B12" s="73">
        <f t="shared" si="2"/>
        <v>1293.5164308111111</v>
      </c>
      <c r="C12" s="74">
        <f t="shared" si="0"/>
        <v>1488.9428571428573</v>
      </c>
      <c r="D12" s="73">
        <f t="shared" si="3"/>
        <v>478.69512857142865</v>
      </c>
      <c r="E12" s="38">
        <v>29</v>
      </c>
      <c r="F12" s="73">
        <f t="shared" si="4"/>
        <v>1681.5712924629629</v>
      </c>
      <c r="G12" s="73">
        <f t="shared" si="1"/>
        <v>540.62517052684257</v>
      </c>
      <c r="I12" s="224"/>
      <c r="J12" s="225"/>
      <c r="K12" s="225"/>
      <c r="L12" s="226"/>
      <c r="M12" s="8"/>
      <c r="N12" s="8"/>
    </row>
    <row r="13" spans="1:14" ht="15" customHeight="1" thickBot="1" x14ac:dyDescent="0.25">
      <c r="A13" s="38">
        <v>28</v>
      </c>
      <c r="B13" s="73">
        <f t="shared" si="2"/>
        <v>1248.9124159555556</v>
      </c>
      <c r="C13" s="74">
        <f t="shared" si="0"/>
        <v>1437.6000000000004</v>
      </c>
      <c r="D13" s="73">
        <f t="shared" si="3"/>
        <v>462.18840000000012</v>
      </c>
      <c r="E13" s="38">
        <v>28</v>
      </c>
      <c r="F13" s="73">
        <f t="shared" si="4"/>
        <v>1623.5860754814814</v>
      </c>
      <c r="G13" s="73">
        <f t="shared" si="1"/>
        <v>521.98292326729631</v>
      </c>
      <c r="I13" s="114"/>
      <c r="J13" s="115" t="s">
        <v>53</v>
      </c>
      <c r="K13" s="130" t="s">
        <v>54</v>
      </c>
      <c r="L13" s="116" t="s">
        <v>55</v>
      </c>
      <c r="M13" s="8"/>
      <c r="N13" s="8"/>
    </row>
    <row r="14" spans="1:14" ht="15" customHeight="1" x14ac:dyDescent="0.2">
      <c r="A14" s="38">
        <v>27</v>
      </c>
      <c r="B14" s="73">
        <f t="shared" si="2"/>
        <v>1204.3084010999999</v>
      </c>
      <c r="C14" s="74">
        <f t="shared" si="0"/>
        <v>1386.2571428571428</v>
      </c>
      <c r="D14" s="73">
        <f t="shared" si="3"/>
        <v>445.68167142857141</v>
      </c>
      <c r="E14" s="38">
        <v>27</v>
      </c>
      <c r="F14" s="73">
        <f t="shared" si="4"/>
        <v>1565.6008584999997</v>
      </c>
      <c r="G14" s="73">
        <f t="shared" si="1"/>
        <v>503.34067600774995</v>
      </c>
      <c r="I14" s="227" t="s">
        <v>56</v>
      </c>
      <c r="J14" s="246">
        <f>IF(L8&gt;=J4,L8,J4)</f>
        <v>1989.3</v>
      </c>
      <c r="K14" s="242">
        <v>24.35</v>
      </c>
      <c r="L14" s="248">
        <f>J14*K14%</f>
        <v>484.39455000000004</v>
      </c>
      <c r="M14" s="8"/>
      <c r="N14" s="8"/>
    </row>
    <row r="15" spans="1:14" ht="15" customHeight="1" thickBot="1" x14ac:dyDescent="0.25">
      <c r="A15" s="38">
        <v>26</v>
      </c>
      <c r="B15" s="73">
        <f t="shared" si="2"/>
        <v>1159.7043862444443</v>
      </c>
      <c r="C15" s="74">
        <f t="shared" si="0"/>
        <v>1334.9142857142858</v>
      </c>
      <c r="D15" s="73">
        <f t="shared" si="3"/>
        <v>429.17494285714292</v>
      </c>
      <c r="E15" s="38">
        <v>26</v>
      </c>
      <c r="F15" s="73">
        <f t="shared" si="4"/>
        <v>1507.6156415185183</v>
      </c>
      <c r="G15" s="73">
        <f t="shared" si="1"/>
        <v>484.69842874820364</v>
      </c>
      <c r="I15" s="228"/>
      <c r="J15" s="247"/>
      <c r="K15" s="243"/>
      <c r="L15" s="249"/>
      <c r="M15" s="8"/>
      <c r="N15" s="8"/>
    </row>
    <row r="16" spans="1:14" ht="15" customHeight="1" x14ac:dyDescent="0.2">
      <c r="A16" s="38">
        <v>25</v>
      </c>
      <c r="B16" s="73">
        <f t="shared" si="2"/>
        <v>1115.1003713888888</v>
      </c>
      <c r="C16" s="74">
        <f t="shared" si="0"/>
        <v>1283.5714285714287</v>
      </c>
      <c r="D16" s="73">
        <f t="shared" si="3"/>
        <v>412.66821428571433</v>
      </c>
      <c r="E16" s="38">
        <v>25</v>
      </c>
      <c r="F16" s="73">
        <f t="shared" si="4"/>
        <v>1449.6304245370368</v>
      </c>
      <c r="G16" s="73">
        <f t="shared" si="1"/>
        <v>466.05618148865733</v>
      </c>
      <c r="I16" s="244" t="s">
        <v>57</v>
      </c>
      <c r="J16" s="246">
        <f>IF(L8&gt;=L4,L8,L4)</f>
        <v>1424.4</v>
      </c>
      <c r="K16" s="242">
        <v>7.8</v>
      </c>
      <c r="L16" s="253">
        <f>J16*K16%</f>
        <v>111.1032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1070.4963565333333</v>
      </c>
      <c r="C17" s="74">
        <f t="shared" si="0"/>
        <v>1232.2285714285713</v>
      </c>
      <c r="D17" s="73">
        <f t="shared" si="3"/>
        <v>396.16148571428567</v>
      </c>
      <c r="E17" s="38">
        <v>24</v>
      </c>
      <c r="F17" s="73">
        <f t="shared" si="4"/>
        <v>1391.6452075555553</v>
      </c>
      <c r="G17" s="73">
        <f t="shared" si="1"/>
        <v>447.41393422911102</v>
      </c>
      <c r="I17" s="245"/>
      <c r="J17" s="247"/>
      <c r="K17" s="243">
        <v>0.2</v>
      </c>
      <c r="L17" s="254"/>
      <c r="M17" s="8"/>
      <c r="N17" s="8"/>
    </row>
    <row r="18" spans="1:14" ht="15" customHeight="1" thickBot="1" x14ac:dyDescent="0.25">
      <c r="A18" s="38">
        <v>23</v>
      </c>
      <c r="B18" s="73">
        <f t="shared" si="2"/>
        <v>1025.8923416777777</v>
      </c>
      <c r="C18" s="74">
        <f t="shared" si="0"/>
        <v>1180.8857142857144</v>
      </c>
      <c r="D18" s="73">
        <f t="shared" si="3"/>
        <v>379.65475714285719</v>
      </c>
      <c r="E18" s="38">
        <v>23</v>
      </c>
      <c r="F18" s="73">
        <f t="shared" si="4"/>
        <v>1333.6599905740738</v>
      </c>
      <c r="G18" s="73">
        <f t="shared" si="1"/>
        <v>428.77168696956477</v>
      </c>
      <c r="I18" s="251" t="s">
        <v>61</v>
      </c>
      <c r="J18" s="252"/>
      <c r="K18" s="131">
        <f>(K14+K16)</f>
        <v>32.15</v>
      </c>
      <c r="L18" s="127">
        <f>SUM(L14:L17)</f>
        <v>595.49775</v>
      </c>
      <c r="M18" s="8"/>
      <c r="N18" s="8"/>
    </row>
    <row r="19" spans="1:14" ht="15" customHeight="1" x14ac:dyDescent="0.2">
      <c r="A19" s="38">
        <v>22</v>
      </c>
      <c r="B19" s="73">
        <f t="shared" si="2"/>
        <v>981.2883268222223</v>
      </c>
      <c r="C19" s="74">
        <f t="shared" si="0"/>
        <v>1129.542857142857</v>
      </c>
      <c r="D19" s="73">
        <f t="shared" si="3"/>
        <v>363.14802857142854</v>
      </c>
      <c r="E19" s="38">
        <v>22</v>
      </c>
      <c r="F19" s="73">
        <f t="shared" si="4"/>
        <v>1275.6747735925926</v>
      </c>
      <c r="G19" s="73">
        <f t="shared" si="1"/>
        <v>410.12943971001852</v>
      </c>
      <c r="I19" s="123"/>
      <c r="J19" s="124"/>
      <c r="K19" s="125"/>
      <c r="L19" s="126"/>
      <c r="M19" s="8"/>
      <c r="N19" s="8"/>
    </row>
    <row r="20" spans="1:14" ht="15" customHeight="1" x14ac:dyDescent="0.2">
      <c r="A20" s="38">
        <v>21</v>
      </c>
      <c r="B20" s="73">
        <f t="shared" si="2"/>
        <v>936.68431196666677</v>
      </c>
      <c r="C20" s="74">
        <f t="shared" si="0"/>
        <v>1078.2</v>
      </c>
      <c r="D20" s="73">
        <f t="shared" si="3"/>
        <v>346.6413</v>
      </c>
      <c r="E20" s="38">
        <v>21</v>
      </c>
      <c r="F20" s="73">
        <f t="shared" si="4"/>
        <v>1217.6895566111111</v>
      </c>
      <c r="G20" s="73">
        <f t="shared" si="1"/>
        <v>391.48719245047226</v>
      </c>
      <c r="I20" s="273" t="s">
        <v>77</v>
      </c>
      <c r="J20" s="273"/>
      <c r="K20" s="273"/>
      <c r="L20" s="273"/>
      <c r="M20" s="273"/>
      <c r="N20" s="273"/>
    </row>
    <row r="21" spans="1:14" ht="15" customHeight="1" x14ac:dyDescent="0.2">
      <c r="A21" s="38">
        <v>20</v>
      </c>
      <c r="B21" s="73">
        <f t="shared" si="2"/>
        <v>892.08029711111101</v>
      </c>
      <c r="C21" s="74">
        <f t="shared" si="0"/>
        <v>1026.8571428571429</v>
      </c>
      <c r="D21" s="73">
        <f t="shared" si="3"/>
        <v>330.13457142857146</v>
      </c>
      <c r="E21" s="38">
        <v>20</v>
      </c>
      <c r="F21" s="73">
        <f t="shared" si="4"/>
        <v>1159.7043396296294</v>
      </c>
      <c r="G21" s="73">
        <f t="shared" si="1"/>
        <v>372.8449451909259</v>
      </c>
      <c r="I21" s="273"/>
      <c r="J21" s="273"/>
      <c r="K21" s="273"/>
      <c r="L21" s="273"/>
      <c r="M21" s="273"/>
      <c r="N21" s="273"/>
    </row>
    <row r="22" spans="1:14" ht="15" customHeight="1" thickBot="1" x14ac:dyDescent="0.25">
      <c r="A22" s="38">
        <v>19</v>
      </c>
      <c r="B22" s="73">
        <f t="shared" si="2"/>
        <v>847.47628225555559</v>
      </c>
      <c r="C22" s="74">
        <f t="shared" si="0"/>
        <v>975.51428571428573</v>
      </c>
      <c r="D22" s="73">
        <f t="shared" si="3"/>
        <v>313.62784285714287</v>
      </c>
      <c r="E22" s="38">
        <v>19</v>
      </c>
      <c r="F22" s="73">
        <f t="shared" si="4"/>
        <v>1101.719122648148</v>
      </c>
      <c r="G22" s="73">
        <f t="shared" si="1"/>
        <v>354.20269793137959</v>
      </c>
      <c r="I22" s="35"/>
      <c r="J22" s="19"/>
      <c r="K22" s="8"/>
      <c r="L22" s="112"/>
      <c r="M22" s="8"/>
      <c r="N22" s="8"/>
    </row>
    <row r="23" spans="1:14" ht="15" customHeight="1" x14ac:dyDescent="0.2">
      <c r="A23" s="38">
        <v>18</v>
      </c>
      <c r="B23" s="73">
        <f t="shared" si="2"/>
        <v>802.87226739999994</v>
      </c>
      <c r="C23" s="74">
        <f t="shared" si="0"/>
        <v>924.17142857142869</v>
      </c>
      <c r="D23" s="73">
        <f t="shared" si="3"/>
        <v>297.12111428571433</v>
      </c>
      <c r="E23" s="38">
        <v>18</v>
      </c>
      <c r="F23" s="73">
        <f t="shared" si="4"/>
        <v>1043.7339056666665</v>
      </c>
      <c r="G23" s="73">
        <f t="shared" si="1"/>
        <v>335.56045067183328</v>
      </c>
      <c r="I23" s="219" t="s">
        <v>62</v>
      </c>
      <c r="J23" s="219"/>
      <c r="K23" s="220"/>
      <c r="L23" s="267"/>
      <c r="M23" s="8"/>
      <c r="N23" s="8"/>
    </row>
    <row r="24" spans="1:14" ht="15" customHeight="1" thickBot="1" x14ac:dyDescent="0.25">
      <c r="A24" s="38">
        <v>17</v>
      </c>
      <c r="B24" s="73">
        <f t="shared" si="2"/>
        <v>758.26825254444441</v>
      </c>
      <c r="C24" s="74">
        <f t="shared" si="0"/>
        <v>872.82857142857131</v>
      </c>
      <c r="D24" s="73">
        <f t="shared" si="3"/>
        <v>280.61438571428567</v>
      </c>
      <c r="E24" s="38">
        <v>17</v>
      </c>
      <c r="F24" s="73">
        <f t="shared" si="4"/>
        <v>985.74868868518502</v>
      </c>
      <c r="G24" s="73">
        <f t="shared" si="1"/>
        <v>316.91820341228697</v>
      </c>
      <c r="I24" s="219"/>
      <c r="J24" s="219"/>
      <c r="K24" s="220"/>
      <c r="L24" s="268"/>
      <c r="M24" s="8"/>
      <c r="N24" s="8"/>
    </row>
    <row r="25" spans="1:14" ht="15" customHeight="1" thickBot="1" x14ac:dyDescent="0.25">
      <c r="A25" s="38">
        <v>16</v>
      </c>
      <c r="B25" s="73">
        <f t="shared" si="2"/>
        <v>713.66423768888887</v>
      </c>
      <c r="C25" s="74">
        <f t="shared" si="0"/>
        <v>821.48571428571427</v>
      </c>
      <c r="D25" s="73">
        <f t="shared" si="3"/>
        <v>264.10765714285714</v>
      </c>
      <c r="E25" s="38">
        <v>16</v>
      </c>
      <c r="F25" s="73">
        <f t="shared" si="4"/>
        <v>927.76347170370354</v>
      </c>
      <c r="G25" s="73">
        <f t="shared" si="1"/>
        <v>298.27595615274072</v>
      </c>
      <c r="I25" s="35"/>
      <c r="J25" s="19"/>
      <c r="K25" s="8"/>
      <c r="L25" s="112"/>
      <c r="M25" s="8"/>
      <c r="N25" s="8"/>
    </row>
    <row r="26" spans="1:14" ht="15" customHeight="1" x14ac:dyDescent="0.2">
      <c r="A26" s="38">
        <v>15</v>
      </c>
      <c r="B26" s="73">
        <f t="shared" si="2"/>
        <v>669.06022283333334</v>
      </c>
      <c r="C26" s="74">
        <f t="shared" si="0"/>
        <v>770.14285714285711</v>
      </c>
      <c r="D26" s="73">
        <f t="shared" si="3"/>
        <v>247.60092857142857</v>
      </c>
      <c r="E26" s="38">
        <v>15</v>
      </c>
      <c r="F26" s="73">
        <f t="shared" si="4"/>
        <v>869.77825472222219</v>
      </c>
      <c r="G26" s="73">
        <f t="shared" si="1"/>
        <v>279.63370889319447</v>
      </c>
      <c r="I26" s="219" t="s">
        <v>67</v>
      </c>
      <c r="J26" s="219"/>
      <c r="K26" s="220"/>
      <c r="L26" s="217"/>
      <c r="M26" s="8"/>
      <c r="N26" s="8"/>
    </row>
    <row r="27" spans="1:14" ht="15" customHeight="1" thickBot="1" x14ac:dyDescent="0.25">
      <c r="A27" s="38">
        <v>14</v>
      </c>
      <c r="B27" s="73">
        <f t="shared" si="2"/>
        <v>624.45620797777781</v>
      </c>
      <c r="C27" s="74">
        <f t="shared" si="0"/>
        <v>718.80000000000018</v>
      </c>
      <c r="D27" s="73">
        <f t="shared" si="3"/>
        <v>231.09420000000006</v>
      </c>
      <c r="E27" s="38">
        <v>14</v>
      </c>
      <c r="F27" s="73">
        <f t="shared" si="4"/>
        <v>811.79303774074071</v>
      </c>
      <c r="G27" s="73">
        <f t="shared" si="1"/>
        <v>260.99146163364816</v>
      </c>
      <c r="I27" s="219"/>
      <c r="J27" s="219"/>
      <c r="K27" s="220"/>
      <c r="L27" s="218"/>
      <c r="M27" s="8"/>
      <c r="N27" s="8"/>
    </row>
    <row r="28" spans="1:14" ht="15" customHeight="1" thickBot="1" x14ac:dyDescent="0.25">
      <c r="A28" s="38">
        <v>13</v>
      </c>
      <c r="B28" s="73">
        <f t="shared" si="2"/>
        <v>579.85219312222216</v>
      </c>
      <c r="C28" s="74">
        <f t="shared" si="0"/>
        <v>667.45714285714291</v>
      </c>
      <c r="D28" s="73">
        <f t="shared" si="3"/>
        <v>214.58747142857146</v>
      </c>
      <c r="E28" s="38">
        <v>13</v>
      </c>
      <c r="F28" s="73">
        <f t="shared" si="4"/>
        <v>753.80782075925913</v>
      </c>
      <c r="G28" s="73">
        <f t="shared" si="1"/>
        <v>242.34921437410182</v>
      </c>
      <c r="I28" s="35"/>
      <c r="J28" s="19"/>
      <c r="K28" s="8"/>
      <c r="L28" s="112"/>
      <c r="M28" s="8"/>
      <c r="N28" s="8"/>
    </row>
    <row r="29" spans="1:14" ht="15" customHeight="1" x14ac:dyDescent="0.2">
      <c r="A29" s="38">
        <v>12</v>
      </c>
      <c r="B29" s="73">
        <f t="shared" si="2"/>
        <v>535.24817826666663</v>
      </c>
      <c r="C29" s="74">
        <f t="shared" si="0"/>
        <v>616.11428571428564</v>
      </c>
      <c r="D29" s="73">
        <f t="shared" si="3"/>
        <v>198.08074285714284</v>
      </c>
      <c r="E29" s="38">
        <v>12</v>
      </c>
      <c r="F29" s="73">
        <f t="shared" si="4"/>
        <v>695.82260377777766</v>
      </c>
      <c r="G29" s="73">
        <f t="shared" si="1"/>
        <v>223.70696711455551</v>
      </c>
      <c r="I29" s="221" t="s">
        <v>63</v>
      </c>
      <c r="J29" s="222"/>
      <c r="K29" s="222"/>
      <c r="L29" s="223"/>
      <c r="M29" s="8"/>
      <c r="N29" s="8"/>
    </row>
    <row r="30" spans="1:14" ht="15" customHeight="1" thickBot="1" x14ac:dyDescent="0.25">
      <c r="A30" s="38">
        <v>11</v>
      </c>
      <c r="B30" s="73">
        <f t="shared" si="2"/>
        <v>490.64416341111115</v>
      </c>
      <c r="C30" s="74">
        <f t="shared" si="0"/>
        <v>564.77142857142849</v>
      </c>
      <c r="D30" s="73">
        <f t="shared" si="3"/>
        <v>181.57401428571427</v>
      </c>
      <c r="E30" s="38">
        <v>11</v>
      </c>
      <c r="F30" s="73">
        <f t="shared" si="4"/>
        <v>637.8373867962963</v>
      </c>
      <c r="G30" s="73">
        <f t="shared" si="1"/>
        <v>205.06471985500926</v>
      </c>
      <c r="I30" s="224"/>
      <c r="J30" s="225"/>
      <c r="K30" s="225"/>
      <c r="L30" s="226"/>
      <c r="M30" s="8"/>
      <c r="N30" s="8"/>
    </row>
    <row r="31" spans="1:14" ht="15" customHeight="1" thickBot="1" x14ac:dyDescent="0.25">
      <c r="A31" s="38">
        <v>10</v>
      </c>
      <c r="B31" s="73">
        <f t="shared" si="2"/>
        <v>446.0401485555555</v>
      </c>
      <c r="C31" s="74">
        <f t="shared" si="0"/>
        <v>513.42857142857144</v>
      </c>
      <c r="D31" s="73">
        <f t="shared" si="3"/>
        <v>165.06728571428573</v>
      </c>
      <c r="E31" s="38">
        <v>10</v>
      </c>
      <c r="F31" s="73">
        <f t="shared" si="4"/>
        <v>579.85216981481472</v>
      </c>
      <c r="G31" s="73">
        <f t="shared" si="1"/>
        <v>186.42247259546295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ht="15" customHeight="1" x14ac:dyDescent="0.2">
      <c r="A32" s="38">
        <v>9</v>
      </c>
      <c r="B32" s="73">
        <f t="shared" si="2"/>
        <v>401.43613369999997</v>
      </c>
      <c r="C32" s="74">
        <f t="shared" si="0"/>
        <v>462.08571428571435</v>
      </c>
      <c r="D32" s="73">
        <f t="shared" si="3"/>
        <v>148.56055714285716</v>
      </c>
      <c r="E32" s="38">
        <v>9</v>
      </c>
      <c r="F32" s="73">
        <f t="shared" si="4"/>
        <v>521.86695283333324</v>
      </c>
      <c r="G32" s="73">
        <f t="shared" si="1"/>
        <v>167.78022533591664</v>
      </c>
      <c r="I32" s="260">
        <f>((L23/37.5*7.5*5)/7)*30*$C$43</f>
        <v>0</v>
      </c>
      <c r="J32" s="262">
        <f>IF(L26&lt;I32,I32,L26)</f>
        <v>0</v>
      </c>
      <c r="K32" s="264">
        <v>32.15</v>
      </c>
      <c r="L32" s="253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356.83211884444444</v>
      </c>
      <c r="C33" s="74">
        <f t="shared" si="0"/>
        <v>410.74285714285713</v>
      </c>
      <c r="D33" s="73">
        <f t="shared" si="3"/>
        <v>132.05382857142857</v>
      </c>
      <c r="E33" s="38">
        <v>8</v>
      </c>
      <c r="F33" s="73">
        <f t="shared" si="4"/>
        <v>463.88173585185177</v>
      </c>
      <c r="G33" s="73">
        <f t="shared" si="1"/>
        <v>149.13797807637036</v>
      </c>
      <c r="I33" s="261"/>
      <c r="J33" s="263"/>
      <c r="K33" s="265"/>
      <c r="L33" s="266"/>
      <c r="M33" s="8"/>
      <c r="N33" s="8"/>
    </row>
    <row r="34" spans="1:14" ht="15" customHeight="1" thickBot="1" x14ac:dyDescent="0.25">
      <c r="A34" s="38">
        <v>7</v>
      </c>
      <c r="B34" s="73">
        <f t="shared" si="2"/>
        <v>312.2281039888889</v>
      </c>
      <c r="C34" s="74">
        <f t="shared" si="0"/>
        <v>359.40000000000009</v>
      </c>
      <c r="D34" s="73">
        <f t="shared" si="3"/>
        <v>115.54710000000003</v>
      </c>
      <c r="E34" s="38">
        <v>7</v>
      </c>
      <c r="F34" s="73">
        <f t="shared" si="4"/>
        <v>405.89651887037036</v>
      </c>
      <c r="G34" s="73">
        <f t="shared" si="1"/>
        <v>130.49573081682408</v>
      </c>
      <c r="I34" s="255" t="s">
        <v>64</v>
      </c>
      <c r="J34" s="256"/>
      <c r="K34" s="257"/>
      <c r="L34" s="127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267.62408913333331</v>
      </c>
      <c r="C35" s="74">
        <f t="shared" si="0"/>
        <v>308.05714285714282</v>
      </c>
      <c r="D35" s="73">
        <f t="shared" si="3"/>
        <v>99.040371428571419</v>
      </c>
      <c r="E35" s="38">
        <v>6</v>
      </c>
      <c r="F35" s="73">
        <f t="shared" si="4"/>
        <v>347.91130188888883</v>
      </c>
      <c r="G35" s="73">
        <f t="shared" si="1"/>
        <v>111.85348355727776</v>
      </c>
      <c r="I35" s="35"/>
      <c r="J35" s="19"/>
      <c r="K35" s="8"/>
      <c r="L35" s="112"/>
      <c r="M35" s="8"/>
      <c r="N35" s="133"/>
    </row>
    <row r="36" spans="1:14" ht="15" customHeight="1" x14ac:dyDescent="0.2">
      <c r="A36" s="38">
        <v>5</v>
      </c>
      <c r="B36" s="73">
        <f t="shared" si="2"/>
        <v>223.02007427777775</v>
      </c>
      <c r="C36" s="74">
        <f t="shared" si="0"/>
        <v>256.71428571428572</v>
      </c>
      <c r="D36" s="73">
        <f t="shared" si="3"/>
        <v>82.533642857142866</v>
      </c>
      <c r="E36" s="38">
        <v>5</v>
      </c>
      <c r="F36" s="73">
        <f t="shared" si="4"/>
        <v>289.92608490740736</v>
      </c>
      <c r="G36" s="73">
        <f t="shared" si="1"/>
        <v>93.211236297731475</v>
      </c>
      <c r="I36" s="258" t="s">
        <v>120</v>
      </c>
      <c r="J36" s="258"/>
      <c r="K36" s="258"/>
      <c r="L36" s="258"/>
      <c r="M36" s="259" t="s">
        <v>98</v>
      </c>
      <c r="N36" s="259"/>
    </row>
    <row r="37" spans="1:14" ht="15" customHeight="1" x14ac:dyDescent="0.2">
      <c r="A37" s="38">
        <v>4</v>
      </c>
      <c r="B37" s="73">
        <f t="shared" si="2"/>
        <v>178.41605942222222</v>
      </c>
      <c r="C37" s="74">
        <f t="shared" si="0"/>
        <v>205.37142857142857</v>
      </c>
      <c r="D37" s="73">
        <f t="shared" si="3"/>
        <v>66.026914285714284</v>
      </c>
      <c r="E37" s="38">
        <v>4</v>
      </c>
      <c r="F37" s="73">
        <f t="shared" si="4"/>
        <v>231.94086792592589</v>
      </c>
      <c r="G37" s="73">
        <f t="shared" si="1"/>
        <v>74.56898903818518</v>
      </c>
      <c r="I37" s="258"/>
      <c r="J37" s="258"/>
      <c r="K37" s="258"/>
      <c r="L37" s="258"/>
      <c r="M37" s="259"/>
      <c r="N37" s="259"/>
    </row>
    <row r="38" spans="1:14" ht="15" customHeight="1" x14ac:dyDescent="0.2">
      <c r="A38" s="38">
        <v>3</v>
      </c>
      <c r="B38" s="73">
        <f t="shared" si="2"/>
        <v>133.81204456666666</v>
      </c>
      <c r="C38" s="74">
        <f t="shared" si="0"/>
        <v>154.02857142857141</v>
      </c>
      <c r="D38" s="73">
        <f t="shared" si="3"/>
        <v>49.520185714285709</v>
      </c>
      <c r="E38" s="38">
        <v>3</v>
      </c>
      <c r="F38" s="73">
        <f t="shared" si="4"/>
        <v>173.95565094444441</v>
      </c>
      <c r="G38" s="73">
        <f t="shared" si="1"/>
        <v>55.926741778638878</v>
      </c>
      <c r="I38" s="5"/>
    </row>
    <row r="39" spans="1:14" ht="15" customHeight="1" x14ac:dyDescent="0.2">
      <c r="A39" s="38">
        <v>2</v>
      </c>
      <c r="B39" s="73">
        <f t="shared" si="2"/>
        <v>89.208029711111109</v>
      </c>
      <c r="C39" s="74">
        <f t="shared" si="0"/>
        <v>102.68571428571428</v>
      </c>
      <c r="D39" s="73">
        <f t="shared" si="3"/>
        <v>33.013457142857142</v>
      </c>
      <c r="E39" s="38">
        <v>2</v>
      </c>
      <c r="F39" s="73">
        <f t="shared" si="4"/>
        <v>115.97043396296294</v>
      </c>
      <c r="G39" s="73">
        <f t="shared" si="1"/>
        <v>37.28449451909259</v>
      </c>
      <c r="I39" s="5"/>
    </row>
    <row r="40" spans="1:14" ht="15" customHeight="1" x14ac:dyDescent="0.2">
      <c r="A40" s="39">
        <v>1</v>
      </c>
      <c r="B40" s="75">
        <f t="shared" si="2"/>
        <v>44.604014855555555</v>
      </c>
      <c r="C40" s="76">
        <f t="shared" si="0"/>
        <v>51.342857142857142</v>
      </c>
      <c r="D40" s="75">
        <f t="shared" si="3"/>
        <v>16.506728571428571</v>
      </c>
      <c r="E40" s="39">
        <v>1</v>
      </c>
      <c r="F40" s="75">
        <f t="shared" si="4"/>
        <v>57.985216981481472</v>
      </c>
      <c r="G40" s="75">
        <f t="shared" si="1"/>
        <v>18.642247259546295</v>
      </c>
      <c r="I40" s="5"/>
    </row>
    <row r="41" spans="1:14" hidden="1" x14ac:dyDescent="0.2"/>
    <row r="42" spans="1:14" ht="15" hidden="1" thickBot="1" x14ac:dyDescent="0.25">
      <c r="C42" s="208" t="s">
        <v>94</v>
      </c>
    </row>
    <row r="43" spans="1:14" s="21" customFormat="1" ht="39.4" hidden="1" customHeight="1" thickBot="1" x14ac:dyDescent="0.25">
      <c r="A43" s="187"/>
      <c r="B43" s="205" t="s">
        <v>13</v>
      </c>
      <c r="C43" s="206">
        <v>11.98</v>
      </c>
      <c r="D43" s="187"/>
      <c r="E43" s="189"/>
      <c r="F43" s="187"/>
      <c r="G43" s="187"/>
      <c r="I43" s="190"/>
    </row>
  </sheetData>
  <sheetProtection algorithmName="SHA-512" hashValue="IHv8ZXo+kASosJsFSBUTjRwegBAbJHr5T/BsxkmETlLc9Wxj0GJap8/f2MAN3+4rlEF+yy6+0M2zf4ffCFTlFw==" saltValue="KSzLBc23bAjXbhBbPNY5uQ==" spinCount="100000" sheet="1" objects="1" scenarios="1"/>
  <protectedRanges>
    <protectedRange sqref="M36" name="CALCULO RC"/>
    <protectedRange sqref="L8" name="RET TC_1"/>
    <protectedRange sqref="L23" name="DED_1"/>
    <protectedRange sqref="L26" name="RET TP_1"/>
  </protectedRanges>
  <mergeCells count="37">
    <mergeCell ref="B2:D2"/>
    <mergeCell ref="F2:G2"/>
    <mergeCell ref="A1:G1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N36:N37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 E INDEMNIZACION" xr:uid="{00000000-0004-0000-04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zoomScale="93" zoomScaleNormal="93" workbookViewId="0">
      <selection activeCell="I20" sqref="I20:M21"/>
    </sheetView>
  </sheetViews>
  <sheetFormatPr baseColWidth="10" defaultColWidth="11.5703125" defaultRowHeight="14.25" x14ac:dyDescent="0.2"/>
  <cols>
    <col min="1" max="1" width="18.42578125" style="4" customWidth="1"/>
    <col min="2" max="2" width="29.5703125" style="68" customWidth="1"/>
    <col min="3" max="3" width="11.28515625" style="69" hidden="1" customWidth="1"/>
    <col min="4" max="4" width="18.42578125" style="68" customWidth="1"/>
    <col min="5" max="5" width="17.28515625" style="5" customWidth="1"/>
    <col min="6" max="6" width="24" style="68" customWidth="1"/>
    <col min="7" max="7" width="18.42578125" style="68" customWidth="1"/>
    <col min="8" max="8" width="8.7109375" style="5" customWidth="1"/>
    <col min="9" max="9" width="19.7109375" style="7" customWidth="1"/>
    <col min="10" max="10" width="19.7109375" style="5" customWidth="1"/>
    <col min="11" max="11" width="20.5703125" style="5" customWidth="1"/>
    <col min="12" max="12" width="17.28515625" style="5" customWidth="1"/>
    <col min="13" max="13" width="15.5703125" style="5" customWidth="1"/>
    <col min="14" max="16384" width="11.5703125" style="5"/>
  </cols>
  <sheetData>
    <row r="1" spans="1:14" s="8" customFormat="1" ht="45" customHeight="1" x14ac:dyDescent="0.2">
      <c r="A1" s="236" t="s">
        <v>111</v>
      </c>
      <c r="B1" s="237"/>
      <c r="C1" s="237"/>
      <c r="D1" s="237"/>
      <c r="E1" s="237"/>
      <c r="F1" s="237"/>
      <c r="G1" s="237"/>
      <c r="I1" s="239" t="s">
        <v>119</v>
      </c>
      <c r="J1" s="240"/>
      <c r="K1" s="240"/>
      <c r="L1" s="240"/>
      <c r="M1" s="241"/>
    </row>
    <row r="2" spans="1:14" s="36" customFormat="1" ht="24.75" customHeight="1" x14ac:dyDescent="0.2">
      <c r="A2" s="44"/>
      <c r="B2" s="300" t="s">
        <v>45</v>
      </c>
      <c r="C2" s="300"/>
      <c r="D2" s="301"/>
      <c r="E2" s="42"/>
      <c r="F2" s="300" t="s">
        <v>46</v>
      </c>
      <c r="G2" s="301"/>
      <c r="I2" s="229" t="s">
        <v>48</v>
      </c>
      <c r="J2" s="229"/>
      <c r="K2" s="229"/>
      <c r="L2" s="229" t="s">
        <v>52</v>
      </c>
      <c r="M2" s="229"/>
    </row>
    <row r="3" spans="1:14" s="27" customFormat="1" ht="38.25" x14ac:dyDescent="0.2">
      <c r="A3" s="43" t="s">
        <v>43</v>
      </c>
      <c r="B3" s="65" t="s">
        <v>44</v>
      </c>
      <c r="C3" s="66" t="s">
        <v>90</v>
      </c>
      <c r="D3" s="67" t="s">
        <v>116</v>
      </c>
      <c r="E3" s="40" t="s">
        <v>43</v>
      </c>
      <c r="F3" s="65" t="s">
        <v>44</v>
      </c>
      <c r="G3" s="67" t="s">
        <v>117</v>
      </c>
      <c r="I3" s="121" t="s">
        <v>47</v>
      </c>
      <c r="J3" s="121" t="s">
        <v>58</v>
      </c>
      <c r="K3" s="121" t="s">
        <v>59</v>
      </c>
      <c r="L3" s="122" t="s">
        <v>50</v>
      </c>
      <c r="M3" s="121" t="s">
        <v>51</v>
      </c>
    </row>
    <row r="4" spans="1:14" ht="15" customHeight="1" x14ac:dyDescent="0.2">
      <c r="A4" s="37">
        <v>37.5</v>
      </c>
      <c r="B4" s="71">
        <f>PARAMETROS!B7</f>
        <v>1568.1107166666666</v>
      </c>
      <c r="C4" s="72"/>
      <c r="D4" s="71"/>
      <c r="E4" s="37">
        <v>37.5</v>
      </c>
      <c r="F4" s="71">
        <f>PARAMETROS!C7</f>
        <v>2038.5439316666668</v>
      </c>
      <c r="G4" s="71">
        <f>IF(F4&gt;$K$4,$K$4*$K$18%,F4*$K$18%)</f>
        <v>655.39187403083338</v>
      </c>
      <c r="I4" s="238">
        <v>2</v>
      </c>
      <c r="J4" s="304">
        <v>1649.7</v>
      </c>
      <c r="K4" s="234">
        <v>5101.2</v>
      </c>
      <c r="L4" s="305">
        <v>1424.4</v>
      </c>
      <c r="M4" s="234">
        <v>5101.2</v>
      </c>
      <c r="N4" s="8"/>
    </row>
    <row r="5" spans="1:14" x14ac:dyDescent="0.2">
      <c r="A5" s="38">
        <v>36</v>
      </c>
      <c r="B5" s="73">
        <f>PRODUCT(B$4,A5)/A$4</f>
        <v>1505.3862879999999</v>
      </c>
      <c r="C5" s="74">
        <f t="shared" ref="C5:C40" si="0">(A5/$A$4*7.5*5)/7*30*$C$43</f>
        <v>1533.6000000000001</v>
      </c>
      <c r="D5" s="73">
        <f>IF(B5&lt;C5,C5*$K$18%,B5*$K$18%)</f>
        <v>493.05240000000003</v>
      </c>
      <c r="E5" s="38">
        <v>36</v>
      </c>
      <c r="F5" s="73">
        <f>PRODUCT(F$4,E5)/E$4</f>
        <v>1957.0021744000001</v>
      </c>
      <c r="G5" s="73">
        <f t="shared" ref="G5:G40" si="1">IF(F5&gt;$K$4,$K$4*$K$18%,F5*$K$18%)</f>
        <v>629.17619906959999</v>
      </c>
      <c r="I5" s="238"/>
      <c r="J5" s="304"/>
      <c r="K5" s="235"/>
      <c r="L5" s="305"/>
      <c r="M5" s="235"/>
      <c r="N5" s="8"/>
    </row>
    <row r="6" spans="1:14" x14ac:dyDescent="0.2">
      <c r="A6" s="38">
        <v>35</v>
      </c>
      <c r="B6" s="73">
        <f t="shared" ref="B6:B40" si="2">PRODUCT(B$4,A6)/A$4</f>
        <v>1463.5700022222222</v>
      </c>
      <c r="C6" s="74">
        <f t="shared" si="0"/>
        <v>1491</v>
      </c>
      <c r="D6" s="73">
        <f t="shared" ref="D6:D40" si="3">IF(B6&lt;C6,C6*$K$18%,B6*$K$18%)</f>
        <v>479.35650000000004</v>
      </c>
      <c r="E6" s="38">
        <v>35</v>
      </c>
      <c r="F6" s="73">
        <f t="shared" ref="F6:F40" si="4">PRODUCT(F$4,E6)/E$4</f>
        <v>1902.641002888889</v>
      </c>
      <c r="G6" s="73">
        <f t="shared" si="1"/>
        <v>611.69908242877784</v>
      </c>
      <c r="I6" s="35"/>
      <c r="J6" s="8"/>
      <c r="K6" s="8"/>
      <c r="L6" s="112"/>
      <c r="M6" s="8"/>
      <c r="N6" s="8"/>
    </row>
    <row r="7" spans="1:14" ht="15" thickBot="1" x14ac:dyDescent="0.25">
      <c r="A7" s="38">
        <v>34</v>
      </c>
      <c r="B7" s="73">
        <f t="shared" si="2"/>
        <v>1421.7537164444443</v>
      </c>
      <c r="C7" s="74">
        <f t="shared" si="0"/>
        <v>1448.3999999999996</v>
      </c>
      <c r="D7" s="73">
        <f t="shared" si="3"/>
        <v>465.66059999999987</v>
      </c>
      <c r="E7" s="38">
        <v>34</v>
      </c>
      <c r="F7" s="73">
        <f t="shared" si="4"/>
        <v>1848.2798313777778</v>
      </c>
      <c r="G7" s="73">
        <f t="shared" si="1"/>
        <v>594.22196578795558</v>
      </c>
      <c r="I7" s="35"/>
      <c r="J7" s="19"/>
      <c r="K7" s="8"/>
      <c r="L7" s="112"/>
      <c r="M7" s="8"/>
      <c r="N7" s="8"/>
    </row>
    <row r="8" spans="1:14" x14ac:dyDescent="0.2">
      <c r="A8" s="38">
        <v>33</v>
      </c>
      <c r="B8" s="73">
        <f t="shared" si="2"/>
        <v>1379.9374306666666</v>
      </c>
      <c r="C8" s="74">
        <f t="shared" si="0"/>
        <v>1405.8000000000002</v>
      </c>
      <c r="D8" s="73">
        <f t="shared" si="3"/>
        <v>451.96470000000005</v>
      </c>
      <c r="E8" s="38">
        <v>33</v>
      </c>
      <c r="F8" s="73">
        <f t="shared" si="4"/>
        <v>1793.9186598666668</v>
      </c>
      <c r="G8" s="73">
        <f t="shared" si="1"/>
        <v>576.74484914713332</v>
      </c>
      <c r="I8" s="219" t="s">
        <v>88</v>
      </c>
      <c r="J8" s="219"/>
      <c r="K8" s="220"/>
      <c r="L8" s="217">
        <v>0</v>
      </c>
      <c r="M8" s="8"/>
      <c r="N8" s="8"/>
    </row>
    <row r="9" spans="1:14" ht="15" thickBot="1" x14ac:dyDescent="0.25">
      <c r="A9" s="38">
        <v>32</v>
      </c>
      <c r="B9" s="73">
        <f t="shared" si="2"/>
        <v>1338.1211448888889</v>
      </c>
      <c r="C9" s="74">
        <f t="shared" si="0"/>
        <v>1363.1999999999998</v>
      </c>
      <c r="D9" s="73">
        <f t="shared" si="3"/>
        <v>438.26879999999994</v>
      </c>
      <c r="E9" s="38">
        <v>32</v>
      </c>
      <c r="F9" s="73">
        <f t="shared" si="4"/>
        <v>1739.5574883555557</v>
      </c>
      <c r="G9" s="73">
        <f t="shared" si="1"/>
        <v>559.26773250631118</v>
      </c>
      <c r="I9" s="219"/>
      <c r="J9" s="219"/>
      <c r="K9" s="220"/>
      <c r="L9" s="218"/>
      <c r="M9" s="8"/>
      <c r="N9" s="8"/>
    </row>
    <row r="10" spans="1:14" ht="15" thickBot="1" x14ac:dyDescent="0.25">
      <c r="A10" s="38">
        <v>31</v>
      </c>
      <c r="B10" s="73">
        <f t="shared" si="2"/>
        <v>1296.304859111111</v>
      </c>
      <c r="C10" s="74">
        <f t="shared" si="0"/>
        <v>1320.6</v>
      </c>
      <c r="D10" s="73">
        <f t="shared" si="3"/>
        <v>424.5729</v>
      </c>
      <c r="E10" s="38">
        <v>31</v>
      </c>
      <c r="F10" s="73">
        <f t="shared" si="4"/>
        <v>1685.1963168444445</v>
      </c>
      <c r="G10" s="73">
        <f t="shared" si="1"/>
        <v>541.79061586548892</v>
      </c>
      <c r="I10" s="117"/>
      <c r="J10" s="118"/>
      <c r="K10" s="119"/>
      <c r="L10" s="120"/>
      <c r="M10" s="8"/>
      <c r="N10" s="8"/>
    </row>
    <row r="11" spans="1:14" x14ac:dyDescent="0.2">
      <c r="A11" s="38">
        <v>30</v>
      </c>
      <c r="B11" s="73">
        <f t="shared" si="2"/>
        <v>1254.4885733333333</v>
      </c>
      <c r="C11" s="74">
        <f t="shared" si="0"/>
        <v>1277.9999999999998</v>
      </c>
      <c r="D11" s="73">
        <f t="shared" si="3"/>
        <v>410.87699999999995</v>
      </c>
      <c r="E11" s="38">
        <v>30</v>
      </c>
      <c r="F11" s="73">
        <f t="shared" si="4"/>
        <v>1630.8351453333335</v>
      </c>
      <c r="G11" s="73">
        <f t="shared" si="1"/>
        <v>524.31349922466677</v>
      </c>
      <c r="I11" s="221" t="s">
        <v>60</v>
      </c>
      <c r="J11" s="222"/>
      <c r="K11" s="222"/>
      <c r="L11" s="223"/>
      <c r="M11" s="8"/>
      <c r="N11" s="8"/>
    </row>
    <row r="12" spans="1:14" ht="15" thickBot="1" x14ac:dyDescent="0.25">
      <c r="A12" s="38">
        <v>29</v>
      </c>
      <c r="B12" s="73">
        <f t="shared" si="2"/>
        <v>1212.6722875555554</v>
      </c>
      <c r="C12" s="74">
        <f t="shared" si="0"/>
        <v>1235.4000000000001</v>
      </c>
      <c r="D12" s="73">
        <f t="shared" si="3"/>
        <v>397.18110000000001</v>
      </c>
      <c r="E12" s="38">
        <v>29</v>
      </c>
      <c r="F12" s="73">
        <f t="shared" si="4"/>
        <v>1576.4739738222224</v>
      </c>
      <c r="G12" s="73">
        <f t="shared" si="1"/>
        <v>506.83638258384451</v>
      </c>
      <c r="I12" s="224"/>
      <c r="J12" s="225"/>
      <c r="K12" s="225"/>
      <c r="L12" s="226"/>
      <c r="M12" s="8"/>
      <c r="N12" s="8"/>
    </row>
    <row r="13" spans="1:14" ht="15" thickBot="1" x14ac:dyDescent="0.25">
      <c r="A13" s="38">
        <v>28</v>
      </c>
      <c r="B13" s="73">
        <f t="shared" si="2"/>
        <v>1170.8560017777777</v>
      </c>
      <c r="C13" s="74">
        <f t="shared" si="0"/>
        <v>1192.8000000000002</v>
      </c>
      <c r="D13" s="73">
        <f t="shared" si="3"/>
        <v>383.48520000000008</v>
      </c>
      <c r="E13" s="38">
        <v>28</v>
      </c>
      <c r="F13" s="73">
        <f t="shared" si="4"/>
        <v>1522.1128023111112</v>
      </c>
      <c r="G13" s="73">
        <f t="shared" si="1"/>
        <v>489.35926594302225</v>
      </c>
      <c r="I13" s="114"/>
      <c r="J13" s="115" t="s">
        <v>53</v>
      </c>
      <c r="K13" s="130" t="s">
        <v>54</v>
      </c>
      <c r="L13" s="116" t="s">
        <v>55</v>
      </c>
      <c r="M13" s="8"/>
      <c r="N13" s="8"/>
    </row>
    <row r="14" spans="1:14" x14ac:dyDescent="0.2">
      <c r="A14" s="38">
        <v>27</v>
      </c>
      <c r="B14" s="73">
        <f t="shared" si="2"/>
        <v>1129.039716</v>
      </c>
      <c r="C14" s="74">
        <f t="shared" si="0"/>
        <v>1150.1999999999998</v>
      </c>
      <c r="D14" s="73">
        <f t="shared" si="3"/>
        <v>369.78929999999997</v>
      </c>
      <c r="E14" s="38">
        <v>27</v>
      </c>
      <c r="F14" s="73">
        <f t="shared" si="4"/>
        <v>1467.7516308000002</v>
      </c>
      <c r="G14" s="73">
        <f t="shared" si="1"/>
        <v>471.88214930220005</v>
      </c>
      <c r="I14" s="227" t="s">
        <v>56</v>
      </c>
      <c r="J14" s="246">
        <f>IF(L8&gt;=J4,L8,J4)</f>
        <v>1649.7</v>
      </c>
      <c r="K14" s="242">
        <v>24.35</v>
      </c>
      <c r="L14" s="248">
        <f>J14*K14%</f>
        <v>401.70195000000007</v>
      </c>
      <c r="M14" s="8"/>
      <c r="N14" s="8"/>
    </row>
    <row r="15" spans="1:14" ht="15" thickBot="1" x14ac:dyDescent="0.25">
      <c r="A15" s="38">
        <v>26</v>
      </c>
      <c r="B15" s="73">
        <f t="shared" si="2"/>
        <v>1087.2234302222223</v>
      </c>
      <c r="C15" s="74">
        <f t="shared" si="0"/>
        <v>1107.5999999999999</v>
      </c>
      <c r="D15" s="73">
        <f t="shared" si="3"/>
        <v>356.09339999999997</v>
      </c>
      <c r="E15" s="38">
        <v>26</v>
      </c>
      <c r="F15" s="73">
        <f t="shared" si="4"/>
        <v>1413.3904592888889</v>
      </c>
      <c r="G15" s="73">
        <f t="shared" si="1"/>
        <v>454.40503266137779</v>
      </c>
      <c r="I15" s="228"/>
      <c r="J15" s="247"/>
      <c r="K15" s="243"/>
      <c r="L15" s="249"/>
      <c r="M15" s="8"/>
      <c r="N15" s="8"/>
    </row>
    <row r="16" spans="1:14" x14ac:dyDescent="0.2">
      <c r="A16" s="38">
        <v>25</v>
      </c>
      <c r="B16" s="73">
        <f t="shared" si="2"/>
        <v>1045.4071444444444</v>
      </c>
      <c r="C16" s="74">
        <f t="shared" si="0"/>
        <v>1065</v>
      </c>
      <c r="D16" s="73">
        <f t="shared" si="3"/>
        <v>342.39750000000004</v>
      </c>
      <c r="E16" s="38">
        <v>25</v>
      </c>
      <c r="F16" s="73">
        <f t="shared" si="4"/>
        <v>1359.0292877777779</v>
      </c>
      <c r="G16" s="73">
        <f t="shared" si="1"/>
        <v>436.92791602055559</v>
      </c>
      <c r="I16" s="244" t="s">
        <v>57</v>
      </c>
      <c r="J16" s="246">
        <f>IF(L8&gt;=L4,L8,L4)</f>
        <v>1424.4</v>
      </c>
      <c r="K16" s="242">
        <v>7.8</v>
      </c>
      <c r="L16" s="253">
        <f>J16*K16%</f>
        <v>111.1032</v>
      </c>
      <c r="M16" s="8"/>
      <c r="N16" s="8"/>
    </row>
    <row r="17" spans="1:14" ht="15" thickBot="1" x14ac:dyDescent="0.25">
      <c r="A17" s="38">
        <v>24</v>
      </c>
      <c r="B17" s="73">
        <f t="shared" si="2"/>
        <v>1003.5908586666667</v>
      </c>
      <c r="C17" s="74">
        <f t="shared" si="0"/>
        <v>1022.3999999999999</v>
      </c>
      <c r="D17" s="73">
        <f t="shared" si="3"/>
        <v>328.70159999999998</v>
      </c>
      <c r="E17" s="38">
        <v>24</v>
      </c>
      <c r="F17" s="73">
        <f t="shared" si="4"/>
        <v>1304.6681162666666</v>
      </c>
      <c r="G17" s="73">
        <f t="shared" si="1"/>
        <v>419.45079937973333</v>
      </c>
      <c r="I17" s="245"/>
      <c r="J17" s="247"/>
      <c r="K17" s="243">
        <v>0.2</v>
      </c>
      <c r="L17" s="254"/>
      <c r="M17" s="8"/>
      <c r="N17" s="8"/>
    </row>
    <row r="18" spans="1:14" ht="15" thickBot="1" x14ac:dyDescent="0.25">
      <c r="A18" s="38">
        <v>23</v>
      </c>
      <c r="B18" s="73">
        <f t="shared" si="2"/>
        <v>961.77457288888888</v>
      </c>
      <c r="C18" s="74">
        <f t="shared" si="0"/>
        <v>979.8</v>
      </c>
      <c r="D18" s="73">
        <f t="shared" si="3"/>
        <v>315.00569999999999</v>
      </c>
      <c r="E18" s="38">
        <v>23</v>
      </c>
      <c r="F18" s="73">
        <f t="shared" si="4"/>
        <v>1250.3069447555556</v>
      </c>
      <c r="G18" s="73">
        <f t="shared" si="1"/>
        <v>401.97368273891112</v>
      </c>
      <c r="I18" s="251" t="s">
        <v>61</v>
      </c>
      <c r="J18" s="252"/>
      <c r="K18" s="131">
        <f>(K14+K16)</f>
        <v>32.15</v>
      </c>
      <c r="L18" s="127">
        <f>SUM(L14:L17)</f>
        <v>512.80515000000003</v>
      </c>
      <c r="M18" s="8"/>
      <c r="N18" s="8"/>
    </row>
    <row r="19" spans="1:14" x14ac:dyDescent="0.2">
      <c r="A19" s="38">
        <v>22</v>
      </c>
      <c r="B19" s="73">
        <f t="shared" si="2"/>
        <v>919.95828711111096</v>
      </c>
      <c r="C19" s="74">
        <f t="shared" si="0"/>
        <v>937.19999999999982</v>
      </c>
      <c r="D19" s="73">
        <f t="shared" si="3"/>
        <v>301.30979999999994</v>
      </c>
      <c r="E19" s="38">
        <v>22</v>
      </c>
      <c r="F19" s="73">
        <f t="shared" si="4"/>
        <v>1195.9457732444446</v>
      </c>
      <c r="G19" s="73">
        <f t="shared" si="1"/>
        <v>384.49656609808892</v>
      </c>
      <c r="I19" s="123"/>
      <c r="J19" s="124"/>
      <c r="K19" s="125"/>
      <c r="L19" s="126"/>
      <c r="M19" s="8"/>
      <c r="N19" s="8"/>
    </row>
    <row r="20" spans="1:14" ht="14.25" customHeight="1" x14ac:dyDescent="0.2">
      <c r="A20" s="38">
        <v>21</v>
      </c>
      <c r="B20" s="73">
        <f t="shared" si="2"/>
        <v>878.14200133333327</v>
      </c>
      <c r="C20" s="74">
        <f t="shared" si="0"/>
        <v>894.59999999999991</v>
      </c>
      <c r="D20" s="73">
        <f t="shared" si="3"/>
        <v>287.6139</v>
      </c>
      <c r="E20" s="38">
        <v>21</v>
      </c>
      <c r="F20" s="73">
        <f t="shared" si="4"/>
        <v>1141.5846017333333</v>
      </c>
      <c r="G20" s="73">
        <f t="shared" si="1"/>
        <v>367.01944945726666</v>
      </c>
      <c r="I20" s="250" t="s">
        <v>76</v>
      </c>
      <c r="J20" s="250"/>
      <c r="K20" s="250"/>
      <c r="L20" s="250"/>
      <c r="M20" s="250"/>
      <c r="N20" s="144"/>
    </row>
    <row r="21" spans="1:14" x14ac:dyDescent="0.2">
      <c r="A21" s="38">
        <v>20</v>
      </c>
      <c r="B21" s="73">
        <f t="shared" si="2"/>
        <v>836.32571555555546</v>
      </c>
      <c r="C21" s="74">
        <f t="shared" si="0"/>
        <v>852</v>
      </c>
      <c r="D21" s="73">
        <f t="shared" si="3"/>
        <v>273.91800000000001</v>
      </c>
      <c r="E21" s="38">
        <v>20</v>
      </c>
      <c r="F21" s="73">
        <f t="shared" si="4"/>
        <v>1087.2234302222223</v>
      </c>
      <c r="G21" s="73">
        <f t="shared" si="1"/>
        <v>349.54233281644446</v>
      </c>
      <c r="I21" s="250"/>
      <c r="J21" s="250"/>
      <c r="K21" s="250"/>
      <c r="L21" s="250"/>
      <c r="M21" s="250"/>
      <c r="N21" s="144"/>
    </row>
    <row r="22" spans="1:14" ht="15" thickBot="1" x14ac:dyDescent="0.25">
      <c r="A22" s="38">
        <v>19</v>
      </c>
      <c r="B22" s="73">
        <f t="shared" si="2"/>
        <v>794.50942977777765</v>
      </c>
      <c r="C22" s="74">
        <f t="shared" si="0"/>
        <v>809.4</v>
      </c>
      <c r="D22" s="73">
        <f t="shared" si="3"/>
        <v>260.22210000000001</v>
      </c>
      <c r="E22" s="38">
        <v>19</v>
      </c>
      <c r="F22" s="73">
        <f t="shared" si="4"/>
        <v>1032.8622587111111</v>
      </c>
      <c r="G22" s="73">
        <f t="shared" si="1"/>
        <v>332.0652161756222</v>
      </c>
      <c r="I22" s="35"/>
      <c r="J22" s="19"/>
      <c r="K22" s="8"/>
      <c r="L22" s="112"/>
      <c r="M22" s="8"/>
      <c r="N22" s="8"/>
    </row>
    <row r="23" spans="1:14" x14ac:dyDescent="0.2">
      <c r="A23" s="38">
        <v>18</v>
      </c>
      <c r="B23" s="73">
        <f t="shared" si="2"/>
        <v>752.69314399999996</v>
      </c>
      <c r="C23" s="74">
        <f t="shared" si="0"/>
        <v>766.80000000000007</v>
      </c>
      <c r="D23" s="73">
        <f t="shared" si="3"/>
        <v>246.52620000000002</v>
      </c>
      <c r="E23" s="38">
        <v>18</v>
      </c>
      <c r="F23" s="73">
        <f t="shared" si="4"/>
        <v>978.50108720000003</v>
      </c>
      <c r="G23" s="73">
        <f t="shared" si="1"/>
        <v>314.58809953479999</v>
      </c>
      <c r="I23" s="219" t="s">
        <v>62</v>
      </c>
      <c r="J23" s="219"/>
      <c r="K23" s="220"/>
      <c r="L23" s="302">
        <v>0</v>
      </c>
      <c r="M23" s="8"/>
      <c r="N23" s="8"/>
    </row>
    <row r="24" spans="1:14" ht="15" thickBot="1" x14ac:dyDescent="0.25">
      <c r="A24" s="38">
        <v>17</v>
      </c>
      <c r="B24" s="73">
        <f t="shared" si="2"/>
        <v>710.87685822222215</v>
      </c>
      <c r="C24" s="74">
        <f t="shared" si="0"/>
        <v>724.19999999999982</v>
      </c>
      <c r="D24" s="73">
        <f t="shared" si="3"/>
        <v>232.83029999999994</v>
      </c>
      <c r="E24" s="38">
        <v>17</v>
      </c>
      <c r="F24" s="73">
        <f t="shared" si="4"/>
        <v>924.13991568888889</v>
      </c>
      <c r="G24" s="73">
        <f t="shared" si="1"/>
        <v>297.11098289397779</v>
      </c>
      <c r="I24" s="219"/>
      <c r="J24" s="219"/>
      <c r="K24" s="220"/>
      <c r="L24" s="303"/>
      <c r="M24" s="8"/>
      <c r="N24" s="8"/>
    </row>
    <row r="25" spans="1:14" ht="15" thickBot="1" x14ac:dyDescent="0.25">
      <c r="A25" s="38">
        <v>16</v>
      </c>
      <c r="B25" s="73">
        <f t="shared" si="2"/>
        <v>669.06057244444446</v>
      </c>
      <c r="C25" s="74">
        <f t="shared" si="0"/>
        <v>681.59999999999991</v>
      </c>
      <c r="D25" s="73">
        <f t="shared" si="3"/>
        <v>219.13439999999997</v>
      </c>
      <c r="E25" s="38">
        <v>16</v>
      </c>
      <c r="F25" s="73">
        <f t="shared" si="4"/>
        <v>869.77874417777787</v>
      </c>
      <c r="G25" s="73">
        <f t="shared" si="1"/>
        <v>279.63386625315559</v>
      </c>
      <c r="I25" s="35"/>
      <c r="J25" s="19"/>
      <c r="K25" s="8"/>
      <c r="L25" s="112"/>
      <c r="M25" s="8"/>
      <c r="N25" s="8"/>
    </row>
    <row r="26" spans="1:14" x14ac:dyDescent="0.2">
      <c r="A26" s="38">
        <v>15</v>
      </c>
      <c r="B26" s="73">
        <f t="shared" si="2"/>
        <v>627.24428666666665</v>
      </c>
      <c r="C26" s="74">
        <f t="shared" si="0"/>
        <v>638.99999999999989</v>
      </c>
      <c r="D26" s="73">
        <f t="shared" si="3"/>
        <v>205.43849999999998</v>
      </c>
      <c r="E26" s="38">
        <v>15</v>
      </c>
      <c r="F26" s="73">
        <f t="shared" si="4"/>
        <v>815.41757266666673</v>
      </c>
      <c r="G26" s="73">
        <f t="shared" si="1"/>
        <v>262.15674961233339</v>
      </c>
      <c r="I26" s="219" t="s">
        <v>67</v>
      </c>
      <c r="J26" s="219"/>
      <c r="K26" s="220"/>
      <c r="L26" s="298">
        <v>0</v>
      </c>
      <c r="M26" s="8"/>
      <c r="N26" s="8"/>
    </row>
    <row r="27" spans="1:14" ht="15" thickBot="1" x14ac:dyDescent="0.25">
      <c r="A27" s="38">
        <v>14</v>
      </c>
      <c r="B27" s="73">
        <f t="shared" si="2"/>
        <v>585.42800088888885</v>
      </c>
      <c r="C27" s="74">
        <f t="shared" si="0"/>
        <v>596.40000000000009</v>
      </c>
      <c r="D27" s="73">
        <f t="shared" si="3"/>
        <v>191.74260000000004</v>
      </c>
      <c r="E27" s="38">
        <v>14</v>
      </c>
      <c r="F27" s="73">
        <f t="shared" si="4"/>
        <v>761.05640115555559</v>
      </c>
      <c r="G27" s="73">
        <f t="shared" si="1"/>
        <v>244.67963297151113</v>
      </c>
      <c r="I27" s="219"/>
      <c r="J27" s="219"/>
      <c r="K27" s="220"/>
      <c r="L27" s="299"/>
      <c r="M27" s="8"/>
      <c r="N27" s="8"/>
    </row>
    <row r="28" spans="1:14" ht="15" thickBot="1" x14ac:dyDescent="0.25">
      <c r="A28" s="38">
        <v>13</v>
      </c>
      <c r="B28" s="73">
        <f t="shared" si="2"/>
        <v>543.61171511111115</v>
      </c>
      <c r="C28" s="74">
        <f t="shared" si="0"/>
        <v>553.79999999999995</v>
      </c>
      <c r="D28" s="73">
        <f t="shared" si="3"/>
        <v>178.04669999999999</v>
      </c>
      <c r="E28" s="38">
        <v>13</v>
      </c>
      <c r="F28" s="73">
        <f t="shared" si="4"/>
        <v>706.69522964444445</v>
      </c>
      <c r="G28" s="73">
        <f t="shared" si="1"/>
        <v>227.20251633068889</v>
      </c>
      <c r="I28" s="35"/>
      <c r="J28" s="19"/>
      <c r="K28" s="8"/>
      <c r="L28" s="112"/>
      <c r="M28" s="8"/>
      <c r="N28" s="8"/>
    </row>
    <row r="29" spans="1:14" x14ac:dyDescent="0.2">
      <c r="A29" s="38">
        <v>12</v>
      </c>
      <c r="B29" s="73">
        <f t="shared" si="2"/>
        <v>501.79542933333335</v>
      </c>
      <c r="C29" s="74">
        <f t="shared" si="0"/>
        <v>511.19999999999993</v>
      </c>
      <c r="D29" s="73">
        <f t="shared" si="3"/>
        <v>164.35079999999999</v>
      </c>
      <c r="E29" s="38">
        <v>12</v>
      </c>
      <c r="F29" s="73">
        <f t="shared" si="4"/>
        <v>652.33405813333331</v>
      </c>
      <c r="G29" s="73">
        <f t="shared" si="1"/>
        <v>209.72539968986666</v>
      </c>
      <c r="I29" s="221" t="s">
        <v>63</v>
      </c>
      <c r="J29" s="222"/>
      <c r="K29" s="222"/>
      <c r="L29" s="223"/>
      <c r="M29" s="8"/>
      <c r="N29" s="8"/>
    </row>
    <row r="30" spans="1:14" ht="15" thickBot="1" x14ac:dyDescent="0.25">
      <c r="A30" s="38">
        <v>11</v>
      </c>
      <c r="B30" s="73">
        <f t="shared" si="2"/>
        <v>459.97914355555548</v>
      </c>
      <c r="C30" s="74">
        <f t="shared" si="0"/>
        <v>468.59999999999991</v>
      </c>
      <c r="D30" s="73">
        <f t="shared" si="3"/>
        <v>150.65489999999997</v>
      </c>
      <c r="E30" s="38">
        <v>11</v>
      </c>
      <c r="F30" s="73">
        <f t="shared" si="4"/>
        <v>597.97288662222229</v>
      </c>
      <c r="G30" s="73">
        <f t="shared" si="1"/>
        <v>192.24828304904446</v>
      </c>
      <c r="I30" s="224"/>
      <c r="J30" s="225"/>
      <c r="K30" s="225"/>
      <c r="L30" s="226"/>
      <c r="M30" s="8"/>
      <c r="N30" s="8"/>
    </row>
    <row r="31" spans="1:14" ht="15" thickBot="1" x14ac:dyDescent="0.25">
      <c r="A31" s="38">
        <v>10</v>
      </c>
      <c r="B31" s="73">
        <f t="shared" si="2"/>
        <v>418.16285777777773</v>
      </c>
      <c r="C31" s="74">
        <f t="shared" si="0"/>
        <v>426</v>
      </c>
      <c r="D31" s="73">
        <f t="shared" si="3"/>
        <v>136.959</v>
      </c>
      <c r="E31" s="38">
        <v>10</v>
      </c>
      <c r="F31" s="73">
        <f t="shared" si="4"/>
        <v>543.61171511111115</v>
      </c>
      <c r="G31" s="73">
        <f t="shared" si="1"/>
        <v>174.77116640822223</v>
      </c>
      <c r="I31" s="134" t="s">
        <v>68</v>
      </c>
      <c r="J31" s="132" t="s">
        <v>53</v>
      </c>
      <c r="K31" s="130" t="s">
        <v>69</v>
      </c>
      <c r="L31" s="116" t="s">
        <v>55</v>
      </c>
      <c r="M31" s="8"/>
      <c r="N31" s="8"/>
    </row>
    <row r="32" spans="1:14" x14ac:dyDescent="0.2">
      <c r="A32" s="38">
        <v>9</v>
      </c>
      <c r="B32" s="73">
        <f t="shared" si="2"/>
        <v>376.34657199999998</v>
      </c>
      <c r="C32" s="74">
        <f t="shared" si="0"/>
        <v>383.40000000000003</v>
      </c>
      <c r="D32" s="73">
        <f t="shared" si="3"/>
        <v>123.26310000000001</v>
      </c>
      <c r="E32" s="38">
        <v>9</v>
      </c>
      <c r="F32" s="73">
        <f t="shared" si="4"/>
        <v>489.25054360000001</v>
      </c>
      <c r="G32" s="73">
        <f t="shared" si="1"/>
        <v>157.2940497674</v>
      </c>
      <c r="I32" s="260">
        <f>((L23/37.5*7.5*5)/7)*30*$C$43</f>
        <v>0</v>
      </c>
      <c r="J32" s="262">
        <f>IF(L26&lt;I32,I32,L26)</f>
        <v>0</v>
      </c>
      <c r="K32" s="264">
        <v>32.15</v>
      </c>
      <c r="L32" s="253">
        <f>J32*K32%</f>
        <v>0</v>
      </c>
      <c r="M32" s="8"/>
      <c r="N32" s="8"/>
    </row>
    <row r="33" spans="1:14" ht="15" thickBot="1" x14ac:dyDescent="0.25">
      <c r="A33" s="38">
        <v>8</v>
      </c>
      <c r="B33" s="73">
        <f t="shared" si="2"/>
        <v>334.53028622222223</v>
      </c>
      <c r="C33" s="74">
        <f t="shared" si="0"/>
        <v>340.79999999999995</v>
      </c>
      <c r="D33" s="73">
        <f t="shared" si="3"/>
        <v>109.56719999999999</v>
      </c>
      <c r="E33" s="38">
        <v>8</v>
      </c>
      <c r="F33" s="73">
        <f t="shared" si="4"/>
        <v>434.88937208888893</v>
      </c>
      <c r="G33" s="73">
        <f t="shared" si="1"/>
        <v>139.81693312657779</v>
      </c>
      <c r="I33" s="261"/>
      <c r="J33" s="263"/>
      <c r="K33" s="265"/>
      <c r="L33" s="266"/>
      <c r="M33" s="8"/>
      <c r="N33" s="8"/>
    </row>
    <row r="34" spans="1:14" ht="15" thickBot="1" x14ac:dyDescent="0.25">
      <c r="A34" s="38">
        <v>7</v>
      </c>
      <c r="B34" s="73">
        <f t="shared" si="2"/>
        <v>292.71400044444442</v>
      </c>
      <c r="C34" s="74">
        <f t="shared" si="0"/>
        <v>298.20000000000005</v>
      </c>
      <c r="D34" s="73">
        <f t="shared" si="3"/>
        <v>95.871300000000019</v>
      </c>
      <c r="E34" s="38">
        <v>7</v>
      </c>
      <c r="F34" s="73">
        <f t="shared" si="4"/>
        <v>380.5282005777778</v>
      </c>
      <c r="G34" s="73">
        <f t="shared" si="1"/>
        <v>122.33981648575556</v>
      </c>
      <c r="I34" s="255" t="s">
        <v>64</v>
      </c>
      <c r="J34" s="256"/>
      <c r="K34" s="257"/>
      <c r="L34" s="127">
        <f>SUM(L32)</f>
        <v>0</v>
      </c>
      <c r="M34" s="8"/>
      <c r="N34" s="8"/>
    </row>
    <row r="35" spans="1:14" x14ac:dyDescent="0.2">
      <c r="A35" s="38">
        <v>6</v>
      </c>
      <c r="B35" s="73">
        <f t="shared" si="2"/>
        <v>250.89771466666667</v>
      </c>
      <c r="C35" s="74">
        <f t="shared" si="0"/>
        <v>255.59999999999997</v>
      </c>
      <c r="D35" s="73">
        <f t="shared" si="3"/>
        <v>82.175399999999996</v>
      </c>
      <c r="E35" s="38">
        <v>6</v>
      </c>
      <c r="F35" s="73">
        <f t="shared" si="4"/>
        <v>326.16702906666666</v>
      </c>
      <c r="G35" s="73">
        <f t="shared" si="1"/>
        <v>104.86269984493333</v>
      </c>
      <c r="I35" s="35"/>
      <c r="J35" s="19"/>
      <c r="K35" s="8"/>
      <c r="L35" s="112"/>
      <c r="M35" s="8"/>
      <c r="N35" s="133"/>
    </row>
    <row r="36" spans="1:14" x14ac:dyDescent="0.2">
      <c r="A36" s="38">
        <v>5</v>
      </c>
      <c r="B36" s="73">
        <f t="shared" si="2"/>
        <v>209.08142888888887</v>
      </c>
      <c r="C36" s="74">
        <f t="shared" si="0"/>
        <v>213</v>
      </c>
      <c r="D36" s="73">
        <f t="shared" si="3"/>
        <v>68.479500000000002</v>
      </c>
      <c r="E36" s="38">
        <v>5</v>
      </c>
      <c r="F36" s="73">
        <f t="shared" si="4"/>
        <v>271.80585755555558</v>
      </c>
      <c r="G36" s="73">
        <f t="shared" si="1"/>
        <v>87.385583204111114</v>
      </c>
      <c r="I36" s="258" t="s">
        <v>120</v>
      </c>
      <c r="J36" s="258"/>
      <c r="K36" s="258"/>
      <c r="L36" s="258"/>
      <c r="M36" s="259" t="s">
        <v>98</v>
      </c>
      <c r="N36" s="133"/>
    </row>
    <row r="37" spans="1:14" x14ac:dyDescent="0.2">
      <c r="A37" s="38">
        <v>4</v>
      </c>
      <c r="B37" s="73">
        <f t="shared" si="2"/>
        <v>167.26514311111112</v>
      </c>
      <c r="C37" s="74">
        <f t="shared" si="0"/>
        <v>170.39999999999998</v>
      </c>
      <c r="D37" s="73">
        <f t="shared" si="3"/>
        <v>54.783599999999993</v>
      </c>
      <c r="E37" s="38">
        <v>4</v>
      </c>
      <c r="F37" s="73">
        <f t="shared" si="4"/>
        <v>217.44468604444447</v>
      </c>
      <c r="G37" s="73">
        <f t="shared" si="1"/>
        <v>69.908466563288897</v>
      </c>
      <c r="I37" s="258"/>
      <c r="J37" s="258"/>
      <c r="K37" s="258"/>
      <c r="L37" s="258"/>
      <c r="M37" s="259"/>
      <c r="N37" s="133"/>
    </row>
    <row r="38" spans="1:14" x14ac:dyDescent="0.2">
      <c r="A38" s="38">
        <v>3</v>
      </c>
      <c r="B38" s="73">
        <f t="shared" si="2"/>
        <v>125.44885733333334</v>
      </c>
      <c r="C38" s="74">
        <f t="shared" si="0"/>
        <v>127.79999999999998</v>
      </c>
      <c r="D38" s="73">
        <f t="shared" si="3"/>
        <v>41.087699999999998</v>
      </c>
      <c r="E38" s="38">
        <v>3</v>
      </c>
      <c r="F38" s="73">
        <f t="shared" si="4"/>
        <v>163.08351453333333</v>
      </c>
      <c r="G38" s="73">
        <f t="shared" si="1"/>
        <v>52.431349922466666</v>
      </c>
      <c r="I38" s="5"/>
    </row>
    <row r="39" spans="1:14" x14ac:dyDescent="0.2">
      <c r="A39" s="38">
        <v>2</v>
      </c>
      <c r="B39" s="73">
        <f t="shared" si="2"/>
        <v>83.632571555555558</v>
      </c>
      <c r="C39" s="74">
        <f t="shared" si="0"/>
        <v>85.199999999999989</v>
      </c>
      <c r="D39" s="73">
        <f t="shared" si="3"/>
        <v>27.391799999999996</v>
      </c>
      <c r="E39" s="38">
        <v>2</v>
      </c>
      <c r="F39" s="73">
        <f t="shared" si="4"/>
        <v>108.72234302222223</v>
      </c>
      <c r="G39" s="73">
        <f t="shared" si="1"/>
        <v>34.954233281644449</v>
      </c>
      <c r="I39" s="5"/>
    </row>
    <row r="40" spans="1:14" x14ac:dyDescent="0.2">
      <c r="A40" s="39">
        <v>1</v>
      </c>
      <c r="B40" s="75">
        <f t="shared" si="2"/>
        <v>41.816285777777779</v>
      </c>
      <c r="C40" s="76">
        <f t="shared" si="0"/>
        <v>42.599999999999994</v>
      </c>
      <c r="D40" s="75">
        <f t="shared" si="3"/>
        <v>13.695899999999998</v>
      </c>
      <c r="E40" s="39">
        <v>1</v>
      </c>
      <c r="F40" s="75">
        <f t="shared" si="4"/>
        <v>54.361171511111117</v>
      </c>
      <c r="G40" s="75">
        <f t="shared" si="1"/>
        <v>17.477116640822224</v>
      </c>
      <c r="I40" s="5"/>
    </row>
    <row r="41" spans="1:14" hidden="1" x14ac:dyDescent="0.2"/>
    <row r="42" spans="1:14" ht="15" hidden="1" thickBot="1" x14ac:dyDescent="0.25">
      <c r="C42" s="208" t="s">
        <v>94</v>
      </c>
    </row>
    <row r="43" spans="1:14" s="21" customFormat="1" ht="41.25" hidden="1" customHeight="1" thickBot="1" x14ac:dyDescent="0.25">
      <c r="A43" s="187"/>
      <c r="B43" s="203" t="s">
        <v>15</v>
      </c>
      <c r="C43" s="204">
        <v>9.94</v>
      </c>
      <c r="D43" s="188"/>
      <c r="E43" s="189"/>
      <c r="F43" s="188"/>
      <c r="G43" s="188"/>
      <c r="I43" s="190"/>
    </row>
  </sheetData>
  <sheetProtection algorithmName="SHA-512" hashValue="bS3b3G5MwDLWt+rcc4mYbvEFVyXFo0PWf7q7cvbYlyApLKBjhGyPkq5bfkLvWRYbcIy3GK8oy1JSFyx2pQVMXQ==" saltValue="9qZs3aDCNeLVw5HG9Z1JQg==" spinCount="100000" sheet="1" objects="1" scenarios="1"/>
  <protectedRanges>
    <protectedRange sqref="M36" name="CALCULO RC"/>
    <protectedRange sqref="L8" name="RET TC_1"/>
    <protectedRange sqref="L23" name="DED_1"/>
    <protectedRange sqref="L26" name="RET TP_2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34:K34"/>
    <mergeCell ref="I36:L37"/>
    <mergeCell ref="M36:M37"/>
    <mergeCell ref="I20:M21"/>
    <mergeCell ref="I29:L30"/>
    <mergeCell ref="I32:I33"/>
    <mergeCell ref="J32:J33"/>
    <mergeCell ref="K32:K33"/>
    <mergeCell ref="L32:L33"/>
    <mergeCell ref="I23:K24"/>
    <mergeCell ref="L23:L24"/>
    <mergeCell ref="I26:K27"/>
    <mergeCell ref="L26:L27"/>
  </mergeCells>
  <phoneticPr fontId="0" type="noConversion"/>
  <hyperlinks>
    <hyperlink ref="M36:M37" r:id="rId1" display="CALCULO RC E INDEMNIZACION" xr:uid="{00000000-0004-0000-05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Q40"/>
  <sheetViews>
    <sheetView topLeftCell="A25" zoomScaleNormal="100" workbookViewId="0">
      <selection activeCell="H43" sqref="H43"/>
    </sheetView>
  </sheetViews>
  <sheetFormatPr baseColWidth="10" defaultRowHeight="12.75" x14ac:dyDescent="0.2"/>
  <cols>
    <col min="1" max="1" width="25.28515625" style="1" bestFit="1" customWidth="1"/>
    <col min="2" max="2" width="30.42578125" style="83" customWidth="1"/>
    <col min="3" max="3" width="11.28515625" style="84" hidden="1" customWidth="1"/>
    <col min="4" max="4" width="31.28515625" style="83" customWidth="1"/>
    <col min="5" max="5" width="6.7109375" style="2" customWidth="1"/>
    <col min="6" max="6" width="19.28515625" style="2" customWidth="1"/>
    <col min="7" max="7" width="20.42578125" style="2" customWidth="1"/>
    <col min="8" max="8" width="20.28515625" style="2" customWidth="1"/>
    <col min="9" max="9" width="17.5703125" style="2" customWidth="1"/>
    <col min="10" max="10" width="15.28515625" style="2" bestFit="1" customWidth="1"/>
    <col min="11" max="173" width="11.42578125" style="2"/>
  </cols>
  <sheetData>
    <row r="1" spans="1:173" s="8" customFormat="1" ht="43.9" customHeight="1" x14ac:dyDescent="0.2">
      <c r="A1" s="236" t="s">
        <v>109</v>
      </c>
      <c r="B1" s="236"/>
      <c r="C1" s="236"/>
      <c r="D1" s="236"/>
      <c r="E1" s="17"/>
      <c r="F1" s="239" t="s">
        <v>119</v>
      </c>
      <c r="G1" s="240"/>
      <c r="H1" s="240"/>
      <c r="I1" s="240"/>
      <c r="J1" s="24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</row>
    <row r="2" spans="1:173" s="27" customFormat="1" ht="25.15" customHeight="1" x14ac:dyDescent="0.2">
      <c r="A2" s="77" t="s">
        <v>43</v>
      </c>
      <c r="B2" s="81" t="s">
        <v>44</v>
      </c>
      <c r="C2" s="82" t="s">
        <v>91</v>
      </c>
      <c r="D2" s="85" t="s">
        <v>116</v>
      </c>
      <c r="E2" s="80"/>
      <c r="F2" s="307" t="s">
        <v>48</v>
      </c>
      <c r="G2" s="308"/>
      <c r="H2" s="309"/>
      <c r="I2" s="307" t="s">
        <v>52</v>
      </c>
      <c r="J2" s="309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</row>
    <row r="3" spans="1:173" s="78" customFormat="1" ht="20.45" customHeight="1" x14ac:dyDescent="0.2">
      <c r="A3" s="37">
        <v>37.5</v>
      </c>
      <c r="B3" s="71">
        <f>PARAMETROS!B8</f>
        <v>2576.6325286438073</v>
      </c>
      <c r="C3" s="72"/>
      <c r="D3" s="73">
        <f>IF(B3&lt;C3,C3*$H$18%,B3*$H$18%)</f>
        <v>828.38735795898401</v>
      </c>
      <c r="E3" s="34"/>
      <c r="F3" s="121" t="s">
        <v>47</v>
      </c>
      <c r="G3" s="121" t="s">
        <v>58</v>
      </c>
      <c r="H3" s="121" t="s">
        <v>59</v>
      </c>
      <c r="I3" s="122" t="s">
        <v>50</v>
      </c>
      <c r="J3" s="121" t="s">
        <v>51</v>
      </c>
      <c r="K3" s="27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</row>
    <row r="4" spans="1:173" s="79" customFormat="1" ht="15" customHeight="1" x14ac:dyDescent="0.2">
      <c r="A4" s="38">
        <v>36</v>
      </c>
      <c r="B4" s="73">
        <f>PRODUCT(PARAMETROS!B$8,A4)/A$3</f>
        <v>2473.5672274980552</v>
      </c>
      <c r="C4" s="74">
        <f t="shared" ref="C4:C39" si="0">(A4/$A$3*7.5*5)/7*30*$C$40</f>
        <v>1323.7714285714287</v>
      </c>
      <c r="D4" s="73">
        <f>IF(B4&lt;C4,C4*$H$18%,B4*$H$18%)</f>
        <v>795.25186364062472</v>
      </c>
      <c r="E4" s="34"/>
      <c r="F4" s="310">
        <v>5</v>
      </c>
      <c r="G4" s="234">
        <v>1424.4</v>
      </c>
      <c r="H4" s="234">
        <v>5101.2</v>
      </c>
      <c r="I4" s="232">
        <v>1424.4</v>
      </c>
      <c r="J4" s="234">
        <v>5101.2</v>
      </c>
      <c r="K4" s="8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</row>
    <row r="5" spans="1:173" s="79" customFormat="1" ht="15" customHeight="1" x14ac:dyDescent="0.2">
      <c r="A5" s="38">
        <v>35</v>
      </c>
      <c r="B5" s="73">
        <f>PRODUCT(PARAMETROS!B$8,A5)/A$3</f>
        <v>2404.8570267342202</v>
      </c>
      <c r="C5" s="74">
        <f t="shared" si="0"/>
        <v>1287</v>
      </c>
      <c r="D5" s="73">
        <f t="shared" ref="D5:D39" si="1">IF(B5&lt;C5,C5*$H$18%,B5*$H$18%)</f>
        <v>773.16153409505182</v>
      </c>
      <c r="E5" s="34"/>
      <c r="F5" s="311"/>
      <c r="G5" s="235"/>
      <c r="H5" s="235"/>
      <c r="I5" s="233"/>
      <c r="J5" s="235"/>
      <c r="K5" s="8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</row>
    <row r="6" spans="1:173" s="79" customFormat="1" ht="15" customHeight="1" x14ac:dyDescent="0.2">
      <c r="A6" s="38">
        <v>34</v>
      </c>
      <c r="B6" s="73">
        <f>PRODUCT(PARAMETROS!B$8,A6)/A$3</f>
        <v>2336.1468259703852</v>
      </c>
      <c r="C6" s="74">
        <f t="shared" si="0"/>
        <v>1250.2285714285713</v>
      </c>
      <c r="D6" s="73">
        <f t="shared" si="1"/>
        <v>751.07120454947881</v>
      </c>
      <c r="E6" s="34"/>
      <c r="F6" s="35"/>
      <c r="G6" s="8"/>
      <c r="H6" s="8"/>
      <c r="I6" s="112"/>
      <c r="J6" s="8"/>
      <c r="K6" s="8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</row>
    <row r="7" spans="1:173" s="79" customFormat="1" ht="15" customHeight="1" thickBot="1" x14ac:dyDescent="0.25">
      <c r="A7" s="38">
        <v>33</v>
      </c>
      <c r="B7" s="73">
        <f>PRODUCT(PARAMETROS!B$8,A7)/A$3</f>
        <v>2267.4366252065506</v>
      </c>
      <c r="C7" s="74">
        <f t="shared" si="0"/>
        <v>1213.457142857143</v>
      </c>
      <c r="D7" s="73">
        <f t="shared" si="1"/>
        <v>728.98087500390602</v>
      </c>
      <c r="E7" s="34"/>
      <c r="F7" s="35"/>
      <c r="G7" s="19"/>
      <c r="H7" s="8"/>
      <c r="I7" s="112"/>
      <c r="J7" s="8"/>
      <c r="K7" s="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</row>
    <row r="8" spans="1:173" s="79" customFormat="1" ht="15" customHeight="1" x14ac:dyDescent="0.2">
      <c r="A8" s="38">
        <v>32</v>
      </c>
      <c r="B8" s="73">
        <f>PRODUCT(PARAMETROS!B$8,A8)/A$3</f>
        <v>2198.7264244427156</v>
      </c>
      <c r="C8" s="74">
        <f t="shared" si="0"/>
        <v>1176.6857142857143</v>
      </c>
      <c r="D8" s="73">
        <f t="shared" si="1"/>
        <v>706.89054545833312</v>
      </c>
      <c r="E8" s="34"/>
      <c r="F8" s="219" t="s">
        <v>88</v>
      </c>
      <c r="G8" s="219"/>
      <c r="H8" s="220"/>
      <c r="I8" s="217"/>
      <c r="J8" s="8"/>
      <c r="K8" s="8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</row>
    <row r="9" spans="1:173" s="79" customFormat="1" ht="15" customHeight="1" thickBot="1" x14ac:dyDescent="0.25">
      <c r="A9" s="38">
        <v>31</v>
      </c>
      <c r="B9" s="73">
        <f>PRODUCT(PARAMETROS!B$8,A9)/A$3</f>
        <v>2130.0162236788806</v>
      </c>
      <c r="C9" s="74">
        <f t="shared" si="0"/>
        <v>1139.9142857142858</v>
      </c>
      <c r="D9" s="73">
        <f t="shared" si="1"/>
        <v>684.80021591276011</v>
      </c>
      <c r="E9" s="34"/>
      <c r="F9" s="219"/>
      <c r="G9" s="219"/>
      <c r="H9" s="220"/>
      <c r="I9" s="218"/>
      <c r="J9" s="8"/>
      <c r="K9" s="8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</row>
    <row r="10" spans="1:173" s="79" customFormat="1" ht="15" customHeight="1" thickBot="1" x14ac:dyDescent="0.25">
      <c r="A10" s="38">
        <v>30</v>
      </c>
      <c r="B10" s="73">
        <f>PRODUCT(PARAMETROS!B$8,A10)/A$3</f>
        <v>2061.306022915046</v>
      </c>
      <c r="C10" s="74">
        <f t="shared" si="0"/>
        <v>1103.1428571428571</v>
      </c>
      <c r="D10" s="73">
        <f t="shared" si="1"/>
        <v>662.70988636718732</v>
      </c>
      <c r="E10" s="34"/>
      <c r="F10" s="117"/>
      <c r="G10" s="118"/>
      <c r="H10" s="119"/>
      <c r="I10" s="120"/>
      <c r="J10" s="8"/>
      <c r="K10" s="8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</row>
    <row r="11" spans="1:173" s="79" customFormat="1" ht="15" customHeight="1" x14ac:dyDescent="0.2">
      <c r="A11" s="38">
        <v>29</v>
      </c>
      <c r="B11" s="73">
        <f>PRODUCT(PARAMETROS!B$8,A11)/A$3</f>
        <v>1992.595822151211</v>
      </c>
      <c r="C11" s="74">
        <f t="shared" si="0"/>
        <v>1066.3714285714286</v>
      </c>
      <c r="D11" s="73">
        <f t="shared" si="1"/>
        <v>640.61955682161431</v>
      </c>
      <c r="E11" s="34"/>
      <c r="F11" s="221" t="s">
        <v>60</v>
      </c>
      <c r="G11" s="222"/>
      <c r="H11" s="222"/>
      <c r="I11" s="223"/>
      <c r="J11" s="8"/>
      <c r="K11" s="8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</row>
    <row r="12" spans="1:173" s="79" customFormat="1" ht="15" customHeight="1" thickBot="1" x14ac:dyDescent="0.25">
      <c r="A12" s="38">
        <v>28</v>
      </c>
      <c r="B12" s="73">
        <f>PRODUCT(PARAMETROS!B$8,A12)/A$3</f>
        <v>1923.885621387376</v>
      </c>
      <c r="C12" s="74">
        <f t="shared" si="0"/>
        <v>1029.6000000000004</v>
      </c>
      <c r="D12" s="73">
        <f t="shared" si="1"/>
        <v>618.52922727604141</v>
      </c>
      <c r="E12" s="34"/>
      <c r="F12" s="224"/>
      <c r="G12" s="225"/>
      <c r="H12" s="225"/>
      <c r="I12" s="226"/>
      <c r="J12" s="8"/>
      <c r="K12" s="8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</row>
    <row r="13" spans="1:173" s="79" customFormat="1" ht="15" customHeight="1" thickBot="1" x14ac:dyDescent="0.25">
      <c r="A13" s="38">
        <v>27</v>
      </c>
      <c r="B13" s="73">
        <f>PRODUCT(PARAMETROS!B$8,A13)/A$3</f>
        <v>1855.1754206235412</v>
      </c>
      <c r="C13" s="74">
        <f t="shared" si="0"/>
        <v>992.82857142857142</v>
      </c>
      <c r="D13" s="73">
        <f t="shared" si="1"/>
        <v>596.43889773046851</v>
      </c>
      <c r="E13" s="34"/>
      <c r="F13" s="114"/>
      <c r="G13" s="132" t="s">
        <v>53</v>
      </c>
      <c r="H13" s="130" t="s">
        <v>54</v>
      </c>
      <c r="I13" s="139" t="s">
        <v>55</v>
      </c>
      <c r="J13" s="8"/>
      <c r="K13" s="8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</row>
    <row r="14" spans="1:173" s="79" customFormat="1" ht="15" customHeight="1" x14ac:dyDescent="0.2">
      <c r="A14" s="38">
        <v>26</v>
      </c>
      <c r="B14" s="73">
        <f>PRODUCT(PARAMETROS!B$8,A14)/A$3</f>
        <v>1786.4652198597064</v>
      </c>
      <c r="C14" s="74">
        <f t="shared" si="0"/>
        <v>956.05714285714294</v>
      </c>
      <c r="D14" s="73">
        <f t="shared" si="1"/>
        <v>574.34856818489561</v>
      </c>
      <c r="E14" s="34"/>
      <c r="F14" s="244" t="s">
        <v>56</v>
      </c>
      <c r="G14" s="246">
        <f>IF(I8&gt;=G4,I8,G4)</f>
        <v>1424.4</v>
      </c>
      <c r="H14" s="264">
        <v>24.35</v>
      </c>
      <c r="I14" s="253">
        <f>G14*H14%</f>
        <v>346.84140000000008</v>
      </c>
      <c r="J14" s="8"/>
      <c r="K14" s="8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</row>
    <row r="15" spans="1:173" s="79" customFormat="1" ht="15" customHeight="1" thickBot="1" x14ac:dyDescent="0.25">
      <c r="A15" s="38">
        <v>25</v>
      </c>
      <c r="B15" s="73">
        <f>PRODUCT(PARAMETROS!B$8,A15)/A$3</f>
        <v>1717.7550190958714</v>
      </c>
      <c r="C15" s="74">
        <f t="shared" si="0"/>
        <v>919.28571428571433</v>
      </c>
      <c r="D15" s="73">
        <f t="shared" si="1"/>
        <v>552.25823863932271</v>
      </c>
      <c r="E15" s="34"/>
      <c r="F15" s="245"/>
      <c r="G15" s="247"/>
      <c r="H15" s="265"/>
      <c r="I15" s="266"/>
      <c r="J15" s="8"/>
      <c r="K15" s="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</row>
    <row r="16" spans="1:173" s="79" customFormat="1" ht="15" customHeight="1" x14ac:dyDescent="0.2">
      <c r="A16" s="38">
        <v>24</v>
      </c>
      <c r="B16" s="73">
        <f>PRODUCT(PARAMETROS!B$8,A16)/A$3</f>
        <v>1649.0448183320366</v>
      </c>
      <c r="C16" s="74">
        <f t="shared" si="0"/>
        <v>882.51428571428562</v>
      </c>
      <c r="D16" s="73">
        <f t="shared" si="1"/>
        <v>530.16790909374981</v>
      </c>
      <c r="E16" s="34"/>
      <c r="F16" s="244" t="s">
        <v>57</v>
      </c>
      <c r="G16" s="246">
        <f>IF(I8&gt;=I4,I8,I4)</f>
        <v>1424.4</v>
      </c>
      <c r="H16" s="264">
        <v>7.8</v>
      </c>
      <c r="I16" s="253">
        <f>G16*H16%</f>
        <v>111.1032</v>
      </c>
      <c r="J16" s="8"/>
      <c r="K16" s="8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</row>
    <row r="17" spans="1:173" s="79" customFormat="1" ht="15" customHeight="1" thickBot="1" x14ac:dyDescent="0.25">
      <c r="A17" s="38">
        <v>23</v>
      </c>
      <c r="B17" s="73">
        <f>PRODUCT(PARAMETROS!B$8,A17)/A$3</f>
        <v>1580.3346175682018</v>
      </c>
      <c r="C17" s="74">
        <f t="shared" si="0"/>
        <v>845.74285714285713</v>
      </c>
      <c r="D17" s="73">
        <f t="shared" si="1"/>
        <v>508.07757954817691</v>
      </c>
      <c r="E17" s="34"/>
      <c r="F17" s="245"/>
      <c r="G17" s="247"/>
      <c r="H17" s="265"/>
      <c r="I17" s="266"/>
      <c r="J17" s="8"/>
      <c r="K17" s="8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</row>
    <row r="18" spans="1:173" s="79" customFormat="1" ht="15" customHeight="1" thickBot="1" x14ac:dyDescent="0.25">
      <c r="A18" s="38">
        <v>22</v>
      </c>
      <c r="B18" s="73">
        <f>PRODUCT(PARAMETROS!B$8,A18)/A$3</f>
        <v>1511.624416804367</v>
      </c>
      <c r="C18" s="74">
        <f t="shared" si="0"/>
        <v>808.97142857142853</v>
      </c>
      <c r="D18" s="73">
        <f t="shared" si="1"/>
        <v>485.98725000260401</v>
      </c>
      <c r="E18" s="34"/>
      <c r="F18" s="251" t="s">
        <v>61</v>
      </c>
      <c r="G18" s="252"/>
      <c r="H18" s="131">
        <f>(H14+H16)</f>
        <v>32.15</v>
      </c>
      <c r="I18" s="127">
        <f>SUM(I14:I17)</f>
        <v>457.94460000000009</v>
      </c>
      <c r="J18" s="8"/>
      <c r="K18" s="8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</row>
    <row r="19" spans="1:173" s="79" customFormat="1" ht="15" customHeight="1" x14ac:dyDescent="0.2">
      <c r="A19" s="38">
        <v>21</v>
      </c>
      <c r="B19" s="73">
        <f>PRODUCT(PARAMETROS!B$8,A19)/A$3</f>
        <v>1442.9142160405322</v>
      </c>
      <c r="C19" s="74">
        <f t="shared" si="0"/>
        <v>772.2</v>
      </c>
      <c r="D19" s="73">
        <f t="shared" si="1"/>
        <v>463.89692045703111</v>
      </c>
      <c r="E19" s="34"/>
      <c r="F19" s="123"/>
      <c r="G19" s="124"/>
      <c r="H19" s="125"/>
      <c r="I19" s="126"/>
      <c r="J19" s="8"/>
      <c r="K19" s="8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</row>
    <row r="20" spans="1:173" s="79" customFormat="1" ht="15" customHeight="1" x14ac:dyDescent="0.2">
      <c r="A20" s="38">
        <v>20</v>
      </c>
      <c r="B20" s="73">
        <f>PRODUCT(PARAMETROS!B$8,A20)/A$3</f>
        <v>1374.2040152766972</v>
      </c>
      <c r="C20" s="74">
        <f t="shared" si="0"/>
        <v>735.42857142857156</v>
      </c>
      <c r="D20" s="73">
        <f t="shared" si="1"/>
        <v>441.80659091145816</v>
      </c>
      <c r="E20" s="34"/>
      <c r="F20" s="250" t="s">
        <v>75</v>
      </c>
      <c r="G20" s="250"/>
      <c r="H20" s="250"/>
      <c r="I20" s="250"/>
      <c r="J20" s="250"/>
      <c r="K20" s="14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</row>
    <row r="21" spans="1:173" s="79" customFormat="1" ht="15" customHeight="1" x14ac:dyDescent="0.2">
      <c r="A21" s="38">
        <v>19</v>
      </c>
      <c r="B21" s="73">
        <f>PRODUCT(PARAMETROS!B$8,A21)/A$3</f>
        <v>1305.4938145128624</v>
      </c>
      <c r="C21" s="74">
        <f t="shared" si="0"/>
        <v>698.65714285714284</v>
      </c>
      <c r="D21" s="73">
        <f t="shared" si="1"/>
        <v>419.71626136588526</v>
      </c>
      <c r="E21" s="34"/>
      <c r="F21" s="250"/>
      <c r="G21" s="250"/>
      <c r="H21" s="250"/>
      <c r="I21" s="250"/>
      <c r="J21" s="250"/>
      <c r="K21" s="14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</row>
    <row r="22" spans="1:173" s="79" customFormat="1" ht="15" customHeight="1" thickBot="1" x14ac:dyDescent="0.25">
      <c r="A22" s="38">
        <v>18</v>
      </c>
      <c r="B22" s="73">
        <f>PRODUCT(PARAMETROS!B$8,A22)/A$3</f>
        <v>1236.7836137490276</v>
      </c>
      <c r="C22" s="74">
        <f t="shared" si="0"/>
        <v>661.88571428571436</v>
      </c>
      <c r="D22" s="73">
        <f t="shared" si="1"/>
        <v>397.62593182031236</v>
      </c>
      <c r="E22" s="34"/>
      <c r="F22" s="35"/>
      <c r="G22" s="19"/>
      <c r="H22" s="8"/>
      <c r="I22" s="112"/>
      <c r="J22" s="8"/>
      <c r="K22" s="8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</row>
    <row r="23" spans="1:173" s="79" customFormat="1" ht="15" customHeight="1" x14ac:dyDescent="0.2">
      <c r="A23" s="38">
        <v>17</v>
      </c>
      <c r="B23" s="73">
        <f>PRODUCT(PARAMETROS!B$8,A23)/A$3</f>
        <v>1168.0734129851926</v>
      </c>
      <c r="C23" s="74">
        <f t="shared" si="0"/>
        <v>625.11428571428564</v>
      </c>
      <c r="D23" s="73">
        <f t="shared" si="1"/>
        <v>375.5356022747394</v>
      </c>
      <c r="E23" s="34"/>
      <c r="F23" s="219" t="s">
        <v>62</v>
      </c>
      <c r="G23" s="219"/>
      <c r="H23" s="220"/>
      <c r="I23" s="267">
        <v>0</v>
      </c>
      <c r="J23" s="8"/>
      <c r="K23" s="8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</row>
    <row r="24" spans="1:173" s="79" customFormat="1" ht="15" customHeight="1" thickBot="1" x14ac:dyDescent="0.25">
      <c r="A24" s="38">
        <v>16</v>
      </c>
      <c r="B24" s="73">
        <f>PRODUCT(PARAMETROS!B$8,A24)/A$3</f>
        <v>1099.3632122213578</v>
      </c>
      <c r="C24" s="74">
        <f t="shared" si="0"/>
        <v>588.34285714285716</v>
      </c>
      <c r="D24" s="73">
        <f t="shared" si="1"/>
        <v>353.44527272916656</v>
      </c>
      <c r="E24" s="34"/>
      <c r="F24" s="219"/>
      <c r="G24" s="219"/>
      <c r="H24" s="220"/>
      <c r="I24" s="268"/>
      <c r="J24" s="8"/>
      <c r="K24" s="8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</row>
    <row r="25" spans="1:173" s="79" customFormat="1" ht="15" customHeight="1" thickBot="1" x14ac:dyDescent="0.25">
      <c r="A25" s="38">
        <v>15</v>
      </c>
      <c r="B25" s="73">
        <f>PRODUCT(PARAMETROS!B$8,A25)/A$3</f>
        <v>1030.653011457523</v>
      </c>
      <c r="C25" s="74">
        <f t="shared" si="0"/>
        <v>551.57142857142856</v>
      </c>
      <c r="D25" s="73">
        <f t="shared" si="1"/>
        <v>331.35494318359366</v>
      </c>
      <c r="E25" s="34"/>
      <c r="F25" s="35"/>
      <c r="G25" s="19"/>
      <c r="H25" s="8"/>
      <c r="I25" s="112"/>
      <c r="J25" s="8"/>
      <c r="K25" s="8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</row>
    <row r="26" spans="1:173" s="79" customFormat="1" ht="15" customHeight="1" x14ac:dyDescent="0.2">
      <c r="A26" s="38">
        <v>14</v>
      </c>
      <c r="B26" s="73">
        <f>PRODUCT(PARAMETROS!B$8,A26)/A$3</f>
        <v>961.94281069368799</v>
      </c>
      <c r="C26" s="74">
        <f t="shared" si="0"/>
        <v>514.80000000000018</v>
      </c>
      <c r="D26" s="73">
        <f t="shared" si="1"/>
        <v>309.26461363802071</v>
      </c>
      <c r="E26" s="34"/>
      <c r="F26" s="219" t="s">
        <v>67</v>
      </c>
      <c r="G26" s="219"/>
      <c r="H26" s="220"/>
      <c r="I26" s="217">
        <v>0</v>
      </c>
      <c r="J26" s="8"/>
      <c r="K26" s="8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</row>
    <row r="27" spans="1:173" s="79" customFormat="1" ht="15" customHeight="1" thickBot="1" x14ac:dyDescent="0.25">
      <c r="A27" s="38">
        <v>13</v>
      </c>
      <c r="B27" s="73">
        <f>PRODUCT(PARAMETROS!B$8,A27)/A$3</f>
        <v>893.2326099298532</v>
      </c>
      <c r="C27" s="74">
        <f t="shared" si="0"/>
        <v>478.02857142857147</v>
      </c>
      <c r="D27" s="73">
        <f t="shared" si="1"/>
        <v>287.17428409244781</v>
      </c>
      <c r="E27" s="34"/>
      <c r="F27" s="219"/>
      <c r="G27" s="219"/>
      <c r="H27" s="220"/>
      <c r="I27" s="218"/>
      <c r="J27" s="8"/>
      <c r="K27" s="8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</row>
    <row r="28" spans="1:173" s="79" customFormat="1" ht="15" customHeight="1" thickBot="1" x14ac:dyDescent="0.25">
      <c r="A28" s="38">
        <v>12</v>
      </c>
      <c r="B28" s="73">
        <f>PRODUCT(PARAMETROS!B$8,A28)/A$3</f>
        <v>824.52240916601829</v>
      </c>
      <c r="C28" s="74">
        <f t="shared" si="0"/>
        <v>441.25714285714281</v>
      </c>
      <c r="D28" s="73">
        <f t="shared" si="1"/>
        <v>265.08395454687491</v>
      </c>
      <c r="E28" s="34"/>
      <c r="F28" s="35"/>
      <c r="G28" s="19"/>
      <c r="H28" s="8"/>
      <c r="I28" s="112"/>
      <c r="J28" s="8"/>
      <c r="K28" s="8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</row>
    <row r="29" spans="1:173" s="79" customFormat="1" ht="15" customHeight="1" x14ac:dyDescent="0.2">
      <c r="A29" s="38">
        <v>11</v>
      </c>
      <c r="B29" s="73">
        <f>PRODUCT(PARAMETROS!B$8,A29)/A$3</f>
        <v>755.8122084021835</v>
      </c>
      <c r="C29" s="74">
        <f t="shared" si="0"/>
        <v>404.48571428571427</v>
      </c>
      <c r="D29" s="73">
        <f t="shared" si="1"/>
        <v>242.99362500130201</v>
      </c>
      <c r="E29" s="34"/>
      <c r="F29" s="221" t="s">
        <v>63</v>
      </c>
      <c r="G29" s="222"/>
      <c r="H29" s="222"/>
      <c r="I29" s="223"/>
      <c r="J29" s="8"/>
      <c r="K29" s="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</row>
    <row r="30" spans="1:173" s="79" customFormat="1" ht="15" customHeight="1" thickBot="1" x14ac:dyDescent="0.25">
      <c r="A30" s="38">
        <v>10</v>
      </c>
      <c r="B30" s="73">
        <f>PRODUCT(PARAMETROS!B$8,A30)/A$3</f>
        <v>687.1020076383486</v>
      </c>
      <c r="C30" s="74">
        <f t="shared" si="0"/>
        <v>367.71428571428578</v>
      </c>
      <c r="D30" s="73">
        <f t="shared" si="1"/>
        <v>220.90329545572908</v>
      </c>
      <c r="E30" s="34"/>
      <c r="F30" s="224"/>
      <c r="G30" s="225"/>
      <c r="H30" s="225"/>
      <c r="I30" s="226"/>
      <c r="J30" s="8"/>
      <c r="K30" s="8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</row>
    <row r="31" spans="1:173" s="79" customFormat="1" ht="15" customHeight="1" thickBot="1" x14ac:dyDescent="0.25">
      <c r="A31" s="38">
        <v>9</v>
      </c>
      <c r="B31" s="73">
        <f>PRODUCT(PARAMETROS!B$8,A31)/A$3</f>
        <v>618.3918068745138</v>
      </c>
      <c r="C31" s="74">
        <f t="shared" si="0"/>
        <v>330.94285714285718</v>
      </c>
      <c r="D31" s="73">
        <f t="shared" si="1"/>
        <v>198.81296591015618</v>
      </c>
      <c r="E31" s="34"/>
      <c r="F31" s="134" t="s">
        <v>68</v>
      </c>
      <c r="G31" s="132" t="s">
        <v>53</v>
      </c>
      <c r="H31" s="130" t="s">
        <v>69</v>
      </c>
      <c r="I31" s="116" t="s">
        <v>55</v>
      </c>
      <c r="J31" s="8"/>
      <c r="K31" s="8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</row>
    <row r="32" spans="1:173" s="79" customFormat="1" ht="15" customHeight="1" x14ac:dyDescent="0.2">
      <c r="A32" s="38">
        <v>8</v>
      </c>
      <c r="B32" s="73">
        <f>PRODUCT(PARAMETROS!B$8,A32)/A$3</f>
        <v>549.6816061106789</v>
      </c>
      <c r="C32" s="74">
        <f t="shared" si="0"/>
        <v>294.17142857142858</v>
      </c>
      <c r="D32" s="73">
        <f t="shared" si="1"/>
        <v>176.72263636458328</v>
      </c>
      <c r="E32" s="34"/>
      <c r="F32" s="306">
        <f>((I23/37.5*7.5*5)/7)*30*$C$40</f>
        <v>0</v>
      </c>
      <c r="G32" s="262">
        <f>IF(I26&lt;F32,F32,I26)</f>
        <v>0</v>
      </c>
      <c r="H32" s="264">
        <v>32.15</v>
      </c>
      <c r="I32" s="253">
        <f>G32*H32%</f>
        <v>0</v>
      </c>
      <c r="J32" s="8"/>
      <c r="K32" s="8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</row>
    <row r="33" spans="1:173" s="79" customFormat="1" ht="15" customHeight="1" thickBot="1" x14ac:dyDescent="0.25">
      <c r="A33" s="38">
        <v>7</v>
      </c>
      <c r="B33" s="73">
        <f>PRODUCT(PARAMETROS!B$8,A33)/A$3</f>
        <v>480.97140534684399</v>
      </c>
      <c r="C33" s="74">
        <f t="shared" si="0"/>
        <v>257.40000000000009</v>
      </c>
      <c r="D33" s="73">
        <f t="shared" si="1"/>
        <v>154.63230681901035</v>
      </c>
      <c r="E33" s="34"/>
      <c r="F33" s="261"/>
      <c r="G33" s="263"/>
      <c r="H33" s="265"/>
      <c r="I33" s="266"/>
      <c r="J33" s="8"/>
      <c r="K33" s="8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</row>
    <row r="34" spans="1:173" s="79" customFormat="1" ht="15" customHeight="1" thickBot="1" x14ac:dyDescent="0.25">
      <c r="A34" s="38">
        <v>6</v>
      </c>
      <c r="B34" s="73">
        <f>PRODUCT(PARAMETROS!B$8,A34)/A$3</f>
        <v>412.26120458300915</v>
      </c>
      <c r="C34" s="74">
        <f t="shared" si="0"/>
        <v>220.62857142857141</v>
      </c>
      <c r="D34" s="73">
        <f t="shared" si="1"/>
        <v>132.54197727343745</v>
      </c>
      <c r="E34" s="34"/>
      <c r="F34" s="255" t="s">
        <v>64</v>
      </c>
      <c r="G34" s="256"/>
      <c r="H34" s="257"/>
      <c r="I34" s="127">
        <f>SUM(I32)</f>
        <v>0</v>
      </c>
      <c r="J34" s="8"/>
      <c r="K34" s="8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</row>
    <row r="35" spans="1:173" s="79" customFormat="1" ht="15" customHeight="1" x14ac:dyDescent="0.2">
      <c r="A35" s="38">
        <v>5</v>
      </c>
      <c r="B35" s="73">
        <f>PRODUCT(PARAMETROS!B$8,A35)/A$3</f>
        <v>343.5510038191743</v>
      </c>
      <c r="C35" s="74">
        <f t="shared" si="0"/>
        <v>183.85714285714289</v>
      </c>
      <c r="D35" s="73">
        <f t="shared" si="1"/>
        <v>110.45164772786454</v>
      </c>
      <c r="E35" s="34"/>
      <c r="F35" s="35"/>
      <c r="G35" s="19"/>
      <c r="H35" s="8"/>
      <c r="I35" s="112"/>
      <c r="J35" s="8"/>
      <c r="K35" s="133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</row>
    <row r="36" spans="1:173" s="79" customFormat="1" ht="15" customHeight="1" x14ac:dyDescent="0.2">
      <c r="A36" s="38">
        <v>4</v>
      </c>
      <c r="B36" s="73">
        <f>PRODUCT(PARAMETROS!B$8,A36)/A$3</f>
        <v>274.84080305533945</v>
      </c>
      <c r="C36" s="74">
        <f t="shared" si="0"/>
        <v>147.08571428571429</v>
      </c>
      <c r="D36" s="73">
        <f t="shared" si="1"/>
        <v>88.36131818229164</v>
      </c>
      <c r="E36" s="34"/>
      <c r="F36" s="258" t="s">
        <v>120</v>
      </c>
      <c r="G36" s="258"/>
      <c r="H36" s="258"/>
      <c r="I36" s="259" t="s">
        <v>98</v>
      </c>
      <c r="J36" s="34"/>
      <c r="K36" s="13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</row>
    <row r="37" spans="1:173" s="79" customFormat="1" ht="15" customHeight="1" x14ac:dyDescent="0.2">
      <c r="A37" s="38">
        <v>3</v>
      </c>
      <c r="B37" s="73">
        <f>PRODUCT(PARAMETROS!B$8,A37)/A$3</f>
        <v>206.13060229150457</v>
      </c>
      <c r="C37" s="74">
        <f t="shared" si="0"/>
        <v>110.3142857142857</v>
      </c>
      <c r="D37" s="73">
        <f t="shared" si="1"/>
        <v>66.270988636718727</v>
      </c>
      <c r="E37" s="34"/>
      <c r="F37" s="258"/>
      <c r="G37" s="258"/>
      <c r="H37" s="258"/>
      <c r="I37" s="259"/>
      <c r="J37" s="34"/>
      <c r="K37" s="13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</row>
    <row r="38" spans="1:173" s="79" customFormat="1" ht="15" customHeight="1" x14ac:dyDescent="0.2">
      <c r="A38" s="38">
        <v>2</v>
      </c>
      <c r="B38" s="73">
        <f>PRODUCT(PARAMETROS!B$8,A38)/A$3</f>
        <v>137.42040152766972</v>
      </c>
      <c r="C38" s="74">
        <f t="shared" si="0"/>
        <v>73.542857142857144</v>
      </c>
      <c r="D38" s="73">
        <f t="shared" si="1"/>
        <v>44.18065909114582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</row>
    <row r="39" spans="1:173" s="79" customFormat="1" ht="15" customHeight="1" x14ac:dyDescent="0.2">
      <c r="A39" s="39">
        <v>1</v>
      </c>
      <c r="B39" s="75">
        <f>PRODUCT(PARAMETROS!B$8,A39)/A$3</f>
        <v>68.710200763834862</v>
      </c>
      <c r="C39" s="76">
        <f t="shared" si="0"/>
        <v>36.771428571428572</v>
      </c>
      <c r="D39" s="75">
        <f t="shared" si="1"/>
        <v>22.09032954557291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</row>
    <row r="40" spans="1:173" s="8" customFormat="1" ht="26.25" hidden="1" thickBot="1" x14ac:dyDescent="0.25">
      <c r="A40" s="33"/>
      <c r="B40" s="203" t="s">
        <v>33</v>
      </c>
      <c r="C40" s="204">
        <v>8.58</v>
      </c>
      <c r="D40" s="10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</row>
  </sheetData>
  <sheetProtection algorithmName="SHA-512" hashValue="b4qR2UdzWsOOvzmJhXyf1vkoY/YbifG0HqONwrW3legMYU++WUBvNkNPE0rEXipgCQ23LKOzQf013IbNrE2ULQ==" saltValue="ZJJnU7ojhkCIkgi5eRJ1pA==" spinCount="100000" sheet="1" objects="1" scenarios="1"/>
  <protectedRanges>
    <protectedRange sqref="I36" name="CALCULO RC"/>
    <protectedRange sqref="I8" name="RET TC_1"/>
    <protectedRange sqref="I23" name="DED_1"/>
    <protectedRange sqref="I26" name="RET TP_1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F8:H9"/>
    <mergeCell ref="I8:I9"/>
    <mergeCell ref="F11:I12"/>
    <mergeCell ref="F14:F15"/>
    <mergeCell ref="G14:G15"/>
    <mergeCell ref="H14:H15"/>
    <mergeCell ref="I14:I15"/>
    <mergeCell ref="F16:F17"/>
    <mergeCell ref="G16:G17"/>
    <mergeCell ref="H16:H17"/>
    <mergeCell ref="I16:I17"/>
    <mergeCell ref="F18:G18"/>
    <mergeCell ref="F20:J21"/>
    <mergeCell ref="F36:H37"/>
    <mergeCell ref="F34:H34"/>
    <mergeCell ref="I36:I37"/>
    <mergeCell ref="F29:I30"/>
    <mergeCell ref="F32:F33"/>
    <mergeCell ref="G32:G33"/>
    <mergeCell ref="H32:H33"/>
    <mergeCell ref="I32:I33"/>
    <mergeCell ref="F23:H24"/>
    <mergeCell ref="I23:I24"/>
    <mergeCell ref="F26:H27"/>
    <mergeCell ref="I26:I27"/>
  </mergeCells>
  <phoneticPr fontId="0" type="noConversion"/>
  <hyperlinks>
    <hyperlink ref="I36:I37" r:id="rId1" display="CALCULO RC E INDEMNIZACION" xr:uid="{00000000-0004-0000-0600-000000000000}"/>
  </hyperlinks>
  <printOptions horizontalCentered="1"/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N42"/>
  <sheetViews>
    <sheetView topLeftCell="A22" zoomScaleNormal="100" workbookViewId="0">
      <selection activeCell="I51" sqref="I51"/>
    </sheetView>
  </sheetViews>
  <sheetFormatPr baseColWidth="10" defaultRowHeight="12.75" x14ac:dyDescent="0.2"/>
  <cols>
    <col min="1" max="1" width="25.28515625" style="1" bestFit="1" customWidth="1"/>
    <col min="2" max="2" width="29.7109375" style="1" customWidth="1"/>
    <col min="3" max="3" width="9.85546875" style="3" hidden="1" customWidth="1"/>
    <col min="4" max="4" width="28.28515625" style="1" customWidth="1"/>
    <col min="5" max="5" width="9.42578125" customWidth="1"/>
    <col min="6" max="6" width="18.28515625" customWidth="1"/>
    <col min="7" max="7" width="22.5703125" customWidth="1"/>
    <col min="8" max="8" width="19.5703125" customWidth="1"/>
    <col min="9" max="9" width="17" customWidth="1"/>
    <col min="10" max="10" width="15.28515625" bestFit="1" customWidth="1"/>
  </cols>
  <sheetData>
    <row r="1" spans="1:170" s="8" customFormat="1" ht="43.15" customHeight="1" x14ac:dyDescent="0.2">
      <c r="A1" s="236" t="s">
        <v>110</v>
      </c>
      <c r="B1" s="236"/>
      <c r="C1" s="236"/>
      <c r="D1" s="236"/>
      <c r="E1" s="20"/>
      <c r="F1" s="239" t="s">
        <v>118</v>
      </c>
      <c r="G1" s="240"/>
      <c r="H1" s="240"/>
      <c r="I1" s="240"/>
      <c r="J1" s="24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</row>
    <row r="2" spans="1:170" s="27" customFormat="1" ht="25.5" x14ac:dyDescent="0.2">
      <c r="A2" s="40" t="s">
        <v>43</v>
      </c>
      <c r="B2" s="65" t="s">
        <v>44</v>
      </c>
      <c r="C2" s="86" t="s">
        <v>92</v>
      </c>
      <c r="D2" s="67" t="s">
        <v>116</v>
      </c>
      <c r="E2" s="17"/>
      <c r="F2" s="307" t="s">
        <v>48</v>
      </c>
      <c r="G2" s="308"/>
      <c r="H2" s="309"/>
      <c r="I2" s="307" t="s">
        <v>52</v>
      </c>
      <c r="J2" s="309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</row>
    <row r="3" spans="1:170" ht="21.6" customHeight="1" x14ac:dyDescent="0.2">
      <c r="A3" s="37">
        <v>37.5</v>
      </c>
      <c r="B3" s="71">
        <f>PARAMETROS!B9</f>
        <v>2212.8609170414938</v>
      </c>
      <c r="C3" s="72"/>
      <c r="D3" s="73">
        <f>IF(B3&lt;C3,C3*$H$18%,B3*$H$18%)</f>
        <v>711.43478482884029</v>
      </c>
      <c r="F3" s="121" t="s">
        <v>47</v>
      </c>
      <c r="G3" s="121" t="s">
        <v>58</v>
      </c>
      <c r="H3" s="121" t="s">
        <v>59</v>
      </c>
      <c r="I3" s="122" t="s">
        <v>50</v>
      </c>
      <c r="J3" s="121" t="s">
        <v>51</v>
      </c>
      <c r="K3" s="27"/>
    </row>
    <row r="4" spans="1:170" ht="16.149999999999999" customHeight="1" x14ac:dyDescent="0.2">
      <c r="A4" s="38">
        <v>36</v>
      </c>
      <c r="B4" s="73">
        <f>PRODUCT(B$3,A4)/A$3</f>
        <v>2124.346480359834</v>
      </c>
      <c r="C4" s="74">
        <f t="shared" ref="C4:C39" si="0">(A4/$A$3*7.5*5)/7*30*$C$40</f>
        <v>1323.7714285714287</v>
      </c>
      <c r="D4" s="73">
        <f>IF(B4&lt;C4,C4*$H$18%,B4*$H$18%)</f>
        <v>682.97739343568662</v>
      </c>
      <c r="F4" s="310">
        <v>7</v>
      </c>
      <c r="G4" s="234">
        <v>1424.4</v>
      </c>
      <c r="H4" s="234">
        <v>5101.2</v>
      </c>
      <c r="I4" s="232">
        <v>1424.4</v>
      </c>
      <c r="J4" s="234">
        <v>5101.2</v>
      </c>
      <c r="K4" s="8"/>
    </row>
    <row r="5" spans="1:170" ht="15" customHeight="1" x14ac:dyDescent="0.2">
      <c r="A5" s="38">
        <v>35</v>
      </c>
      <c r="B5" s="73">
        <f>PRODUCT(B$3,A5)/A$3</f>
        <v>2065.3368559053943</v>
      </c>
      <c r="C5" s="74">
        <f t="shared" si="0"/>
        <v>1287</v>
      </c>
      <c r="D5" s="73">
        <f t="shared" ref="D5:D39" si="1">IF(B5&lt;C5,C5*$H$18%,B5*$H$18%)</f>
        <v>664.00579917358425</v>
      </c>
      <c r="F5" s="311"/>
      <c r="G5" s="235"/>
      <c r="H5" s="235"/>
      <c r="I5" s="233"/>
      <c r="J5" s="235"/>
      <c r="K5" s="8"/>
    </row>
    <row r="6" spans="1:170" ht="15" customHeight="1" x14ac:dyDescent="0.2">
      <c r="A6" s="38">
        <v>34</v>
      </c>
      <c r="B6" s="73">
        <f t="shared" ref="B6:B39" si="2">PRODUCT(B$3,A6)/A$3</f>
        <v>2006.3272314509543</v>
      </c>
      <c r="C6" s="74">
        <f t="shared" si="0"/>
        <v>1250.2285714285713</v>
      </c>
      <c r="D6" s="73">
        <f t="shared" si="1"/>
        <v>645.03420491148177</v>
      </c>
      <c r="F6" s="35"/>
      <c r="G6" s="8"/>
      <c r="H6" s="8"/>
      <c r="I6" s="112"/>
      <c r="J6" s="8"/>
      <c r="K6" s="8"/>
    </row>
    <row r="7" spans="1:170" ht="15" customHeight="1" thickBot="1" x14ac:dyDescent="0.25">
      <c r="A7" s="38">
        <v>33</v>
      </c>
      <c r="B7" s="73">
        <f t="shared" si="2"/>
        <v>1947.3176069965148</v>
      </c>
      <c r="C7" s="74">
        <f t="shared" si="0"/>
        <v>1213.457142857143</v>
      </c>
      <c r="D7" s="73">
        <f t="shared" si="1"/>
        <v>626.06261064937951</v>
      </c>
      <c r="F7" s="35"/>
      <c r="G7" s="19"/>
      <c r="H7" s="8"/>
      <c r="I7" s="112"/>
      <c r="J7" s="8"/>
      <c r="K7" s="8"/>
    </row>
    <row r="8" spans="1:170" ht="15" customHeight="1" x14ac:dyDescent="0.2">
      <c r="A8" s="38">
        <v>32</v>
      </c>
      <c r="B8" s="73">
        <f t="shared" si="2"/>
        <v>1888.3079825420748</v>
      </c>
      <c r="C8" s="74">
        <f t="shared" si="0"/>
        <v>1176.6857142857143</v>
      </c>
      <c r="D8" s="73">
        <f t="shared" si="1"/>
        <v>607.09101638727702</v>
      </c>
      <c r="F8" s="219" t="s">
        <v>88</v>
      </c>
      <c r="G8" s="219"/>
      <c r="H8" s="220"/>
      <c r="I8" s="217">
        <v>0</v>
      </c>
      <c r="J8" s="8"/>
      <c r="K8" s="8"/>
    </row>
    <row r="9" spans="1:170" ht="15" customHeight="1" thickBot="1" x14ac:dyDescent="0.25">
      <c r="A9" s="38">
        <v>31</v>
      </c>
      <c r="B9" s="73">
        <f t="shared" si="2"/>
        <v>1829.2983580876348</v>
      </c>
      <c r="C9" s="74">
        <f t="shared" si="0"/>
        <v>1139.9142857142858</v>
      </c>
      <c r="D9" s="73">
        <f t="shared" si="1"/>
        <v>588.11942212517465</v>
      </c>
      <c r="F9" s="219"/>
      <c r="G9" s="219"/>
      <c r="H9" s="220"/>
      <c r="I9" s="218"/>
      <c r="J9" s="8"/>
      <c r="K9" s="8"/>
    </row>
    <row r="10" spans="1:170" ht="15" customHeight="1" thickBot="1" x14ac:dyDescent="0.25">
      <c r="A10" s="38">
        <v>30</v>
      </c>
      <c r="B10" s="73">
        <f t="shared" si="2"/>
        <v>1770.2887336331951</v>
      </c>
      <c r="C10" s="74">
        <f t="shared" si="0"/>
        <v>1103.1428571428571</v>
      </c>
      <c r="D10" s="73">
        <f t="shared" si="1"/>
        <v>569.14782786307228</v>
      </c>
      <c r="F10" s="117"/>
      <c r="G10" s="118"/>
      <c r="H10" s="119"/>
      <c r="I10" s="120"/>
      <c r="J10" s="8"/>
      <c r="K10" s="8"/>
    </row>
    <row r="11" spans="1:170" ht="15" customHeight="1" x14ac:dyDescent="0.2">
      <c r="A11" s="38">
        <v>29</v>
      </c>
      <c r="B11" s="73">
        <f t="shared" si="2"/>
        <v>1711.2791091787553</v>
      </c>
      <c r="C11" s="74">
        <f t="shared" si="0"/>
        <v>1066.3714285714286</v>
      </c>
      <c r="D11" s="73">
        <f t="shared" si="1"/>
        <v>550.17623360096991</v>
      </c>
      <c r="F11" s="221" t="s">
        <v>60</v>
      </c>
      <c r="G11" s="222"/>
      <c r="H11" s="222"/>
      <c r="I11" s="223"/>
      <c r="J11" s="8"/>
      <c r="K11" s="8"/>
    </row>
    <row r="12" spans="1:170" ht="15" customHeight="1" thickBot="1" x14ac:dyDescent="0.25">
      <c r="A12" s="38">
        <v>28</v>
      </c>
      <c r="B12" s="73">
        <f t="shared" si="2"/>
        <v>1652.2694847243156</v>
      </c>
      <c r="C12" s="74">
        <f t="shared" si="0"/>
        <v>1029.6000000000004</v>
      </c>
      <c r="D12" s="73">
        <f t="shared" si="1"/>
        <v>531.20463933886742</v>
      </c>
      <c r="F12" s="224"/>
      <c r="G12" s="225"/>
      <c r="H12" s="225"/>
      <c r="I12" s="226"/>
      <c r="J12" s="8"/>
      <c r="K12" s="8"/>
    </row>
    <row r="13" spans="1:170" ht="15" customHeight="1" thickBot="1" x14ac:dyDescent="0.25">
      <c r="A13" s="38">
        <v>27</v>
      </c>
      <c r="B13" s="73">
        <f t="shared" si="2"/>
        <v>1593.2598602698754</v>
      </c>
      <c r="C13" s="74">
        <f t="shared" si="0"/>
        <v>992.82857142857142</v>
      </c>
      <c r="D13" s="73">
        <f t="shared" si="1"/>
        <v>512.23304507676494</v>
      </c>
      <c r="F13" s="114"/>
      <c r="G13" s="132" t="s">
        <v>53</v>
      </c>
      <c r="H13" s="130" t="s">
        <v>54</v>
      </c>
      <c r="I13" s="139" t="s">
        <v>55</v>
      </c>
      <c r="J13" s="8"/>
      <c r="K13" s="8"/>
    </row>
    <row r="14" spans="1:170" ht="15" customHeight="1" x14ac:dyDescent="0.2">
      <c r="A14" s="38">
        <v>26</v>
      </c>
      <c r="B14" s="73">
        <f t="shared" si="2"/>
        <v>1534.2502358154356</v>
      </c>
      <c r="C14" s="74">
        <f t="shared" si="0"/>
        <v>956.05714285714294</v>
      </c>
      <c r="D14" s="73">
        <f t="shared" si="1"/>
        <v>493.26145081466257</v>
      </c>
      <c r="F14" s="244" t="s">
        <v>56</v>
      </c>
      <c r="G14" s="246">
        <f>IF(I8&gt;=G4,I8,G4)</f>
        <v>1424.4</v>
      </c>
      <c r="H14" s="264">
        <v>24.35</v>
      </c>
      <c r="I14" s="253">
        <f>G14*H14%</f>
        <v>346.84140000000008</v>
      </c>
      <c r="J14" s="8"/>
      <c r="K14" s="8"/>
    </row>
    <row r="15" spans="1:170" ht="15" customHeight="1" thickBot="1" x14ac:dyDescent="0.25">
      <c r="A15" s="38">
        <v>25</v>
      </c>
      <c r="B15" s="73">
        <f t="shared" si="2"/>
        <v>1475.2406113609959</v>
      </c>
      <c r="C15" s="74">
        <f t="shared" si="0"/>
        <v>919.28571428571433</v>
      </c>
      <c r="D15" s="73">
        <f t="shared" si="1"/>
        <v>474.2898565525602</v>
      </c>
      <c r="F15" s="245"/>
      <c r="G15" s="247"/>
      <c r="H15" s="265"/>
      <c r="I15" s="266"/>
      <c r="J15" s="8"/>
      <c r="K15" s="8"/>
    </row>
    <row r="16" spans="1:170" ht="15" customHeight="1" x14ac:dyDescent="0.2">
      <c r="A16" s="38">
        <v>24</v>
      </c>
      <c r="B16" s="73">
        <f t="shared" si="2"/>
        <v>1416.2309869065562</v>
      </c>
      <c r="C16" s="74">
        <f t="shared" si="0"/>
        <v>882.51428571428562</v>
      </c>
      <c r="D16" s="73">
        <f t="shared" si="1"/>
        <v>455.31826229045782</v>
      </c>
      <c r="F16" s="244" t="s">
        <v>57</v>
      </c>
      <c r="G16" s="246">
        <f>IF(I8&gt;=I4,I8,I4)</f>
        <v>1424.4</v>
      </c>
      <c r="H16" s="264">
        <v>7.8</v>
      </c>
      <c r="I16" s="253">
        <f>G16*H16%</f>
        <v>111.1032</v>
      </c>
      <c r="J16" s="8"/>
      <c r="K16" s="8"/>
    </row>
    <row r="17" spans="1:11" ht="15" customHeight="1" thickBot="1" x14ac:dyDescent="0.25">
      <c r="A17" s="38">
        <v>23</v>
      </c>
      <c r="B17" s="73">
        <f t="shared" si="2"/>
        <v>1357.2213624521162</v>
      </c>
      <c r="C17" s="74">
        <f t="shared" si="0"/>
        <v>845.74285714285713</v>
      </c>
      <c r="D17" s="73">
        <f t="shared" si="1"/>
        <v>436.34666802835534</v>
      </c>
      <c r="F17" s="245"/>
      <c r="G17" s="247"/>
      <c r="H17" s="265"/>
      <c r="I17" s="266"/>
      <c r="J17" s="8"/>
      <c r="K17" s="8"/>
    </row>
    <row r="18" spans="1:11" ht="15" customHeight="1" thickBot="1" x14ac:dyDescent="0.25">
      <c r="A18" s="38">
        <v>22</v>
      </c>
      <c r="B18" s="73">
        <f t="shared" si="2"/>
        <v>1298.2117379976764</v>
      </c>
      <c r="C18" s="74">
        <f t="shared" si="0"/>
        <v>808.97142857142853</v>
      </c>
      <c r="D18" s="73">
        <f t="shared" si="1"/>
        <v>417.37507376625297</v>
      </c>
      <c r="F18" s="251" t="s">
        <v>61</v>
      </c>
      <c r="G18" s="252"/>
      <c r="H18" s="131">
        <f>(H14+H16)</f>
        <v>32.15</v>
      </c>
      <c r="I18" s="127">
        <f>SUM(I14:I17)</f>
        <v>457.94460000000009</v>
      </c>
      <c r="J18" s="8"/>
      <c r="K18" s="8"/>
    </row>
    <row r="19" spans="1:11" ht="15" customHeight="1" x14ac:dyDescent="0.2">
      <c r="A19" s="38">
        <v>21</v>
      </c>
      <c r="B19" s="73">
        <f t="shared" si="2"/>
        <v>1239.2021135432367</v>
      </c>
      <c r="C19" s="74">
        <f t="shared" si="0"/>
        <v>772.2</v>
      </c>
      <c r="D19" s="73">
        <f t="shared" si="1"/>
        <v>398.4034795041506</v>
      </c>
      <c r="F19" s="123"/>
      <c r="G19" s="124"/>
      <c r="H19" s="125"/>
      <c r="I19" s="126"/>
      <c r="J19" s="8"/>
      <c r="K19" s="8"/>
    </row>
    <row r="20" spans="1:11" ht="15" customHeight="1" x14ac:dyDescent="0.2">
      <c r="A20" s="38">
        <v>20</v>
      </c>
      <c r="B20" s="73">
        <f t="shared" si="2"/>
        <v>1180.1924890887967</v>
      </c>
      <c r="C20" s="74">
        <f t="shared" si="0"/>
        <v>735.42857142857156</v>
      </c>
      <c r="D20" s="73">
        <f t="shared" si="1"/>
        <v>379.43188524204817</v>
      </c>
      <c r="F20" s="250" t="s">
        <v>75</v>
      </c>
      <c r="G20" s="250"/>
      <c r="H20" s="250"/>
      <c r="I20" s="250"/>
      <c r="J20" s="250"/>
      <c r="K20" s="144"/>
    </row>
    <row r="21" spans="1:11" ht="15" customHeight="1" x14ac:dyDescent="0.2">
      <c r="A21" s="38">
        <v>19</v>
      </c>
      <c r="B21" s="73">
        <f t="shared" si="2"/>
        <v>1121.1828646343567</v>
      </c>
      <c r="C21" s="74">
        <f t="shared" si="0"/>
        <v>698.65714285714284</v>
      </c>
      <c r="D21" s="73">
        <f t="shared" si="1"/>
        <v>360.46029097994568</v>
      </c>
      <c r="F21" s="250"/>
      <c r="G21" s="250"/>
      <c r="H21" s="250"/>
      <c r="I21" s="250"/>
      <c r="J21" s="250"/>
      <c r="K21" s="144"/>
    </row>
    <row r="22" spans="1:11" ht="15" customHeight="1" thickBot="1" x14ac:dyDescent="0.25">
      <c r="A22" s="38">
        <v>18</v>
      </c>
      <c r="B22" s="73">
        <f t="shared" si="2"/>
        <v>1062.173240179917</v>
      </c>
      <c r="C22" s="74">
        <f t="shared" si="0"/>
        <v>661.88571428571436</v>
      </c>
      <c r="D22" s="73">
        <f t="shared" si="1"/>
        <v>341.48869671784331</v>
      </c>
      <c r="F22" s="35"/>
      <c r="G22" s="19"/>
      <c r="H22" s="8"/>
      <c r="I22" s="112"/>
      <c r="J22" s="8"/>
      <c r="K22" s="8"/>
    </row>
    <row r="23" spans="1:11" ht="15" customHeight="1" x14ac:dyDescent="0.2">
      <c r="A23" s="38">
        <v>17</v>
      </c>
      <c r="B23" s="73">
        <f t="shared" si="2"/>
        <v>1003.1636157254771</v>
      </c>
      <c r="C23" s="74">
        <f t="shared" si="0"/>
        <v>625.11428571428564</v>
      </c>
      <c r="D23" s="73">
        <f t="shared" si="1"/>
        <v>322.51710245574088</v>
      </c>
      <c r="F23" s="219" t="s">
        <v>62</v>
      </c>
      <c r="G23" s="219"/>
      <c r="H23" s="220"/>
      <c r="I23" s="267"/>
      <c r="J23" s="8"/>
      <c r="K23" s="8"/>
    </row>
    <row r="24" spans="1:11" ht="15" customHeight="1" thickBot="1" x14ac:dyDescent="0.25">
      <c r="A24" s="38">
        <v>16</v>
      </c>
      <c r="B24" s="73">
        <f t="shared" si="2"/>
        <v>944.1539912710374</v>
      </c>
      <c r="C24" s="74">
        <f t="shared" si="0"/>
        <v>588.34285714285716</v>
      </c>
      <c r="D24" s="73">
        <f t="shared" si="1"/>
        <v>303.54550819363851</v>
      </c>
      <c r="F24" s="219"/>
      <c r="G24" s="219"/>
      <c r="H24" s="220"/>
      <c r="I24" s="268"/>
      <c r="J24" s="8"/>
      <c r="K24" s="8"/>
    </row>
    <row r="25" spans="1:11" ht="15" customHeight="1" thickBot="1" x14ac:dyDescent="0.25">
      <c r="A25" s="38">
        <v>15</v>
      </c>
      <c r="B25" s="73">
        <f t="shared" si="2"/>
        <v>885.14436681659754</v>
      </c>
      <c r="C25" s="74">
        <f t="shared" si="0"/>
        <v>551.57142857142856</v>
      </c>
      <c r="D25" s="73">
        <f t="shared" si="1"/>
        <v>284.57391393153614</v>
      </c>
      <c r="F25" s="35"/>
      <c r="G25" s="19"/>
      <c r="H25" s="8"/>
      <c r="I25" s="112"/>
      <c r="J25" s="8"/>
      <c r="K25" s="8"/>
    </row>
    <row r="26" spans="1:11" ht="15" customHeight="1" x14ac:dyDescent="0.2">
      <c r="A26" s="38">
        <v>14</v>
      </c>
      <c r="B26" s="73">
        <f t="shared" si="2"/>
        <v>826.13474236215779</v>
      </c>
      <c r="C26" s="74">
        <f t="shared" si="0"/>
        <v>514.80000000000018</v>
      </c>
      <c r="D26" s="73">
        <f t="shared" si="1"/>
        <v>265.60231966943371</v>
      </c>
      <c r="F26" s="219" t="s">
        <v>67</v>
      </c>
      <c r="G26" s="219"/>
      <c r="H26" s="220"/>
      <c r="I26" s="217"/>
      <c r="J26" s="8"/>
      <c r="K26" s="8"/>
    </row>
    <row r="27" spans="1:11" ht="15" customHeight="1" thickBot="1" x14ac:dyDescent="0.25">
      <c r="A27" s="38">
        <v>13</v>
      </c>
      <c r="B27" s="73">
        <f t="shared" si="2"/>
        <v>767.12511790771782</v>
      </c>
      <c r="C27" s="74">
        <f t="shared" si="0"/>
        <v>478.02857142857147</v>
      </c>
      <c r="D27" s="73">
        <f t="shared" si="1"/>
        <v>246.63072540733128</v>
      </c>
      <c r="F27" s="219"/>
      <c r="G27" s="219"/>
      <c r="H27" s="220"/>
      <c r="I27" s="218"/>
      <c r="J27" s="8"/>
      <c r="K27" s="8"/>
    </row>
    <row r="28" spans="1:11" ht="15" customHeight="1" thickBot="1" x14ac:dyDescent="0.25">
      <c r="A28" s="38">
        <v>12</v>
      </c>
      <c r="B28" s="73">
        <f t="shared" si="2"/>
        <v>708.11549345327808</v>
      </c>
      <c r="C28" s="74">
        <f t="shared" si="0"/>
        <v>441.25714285714281</v>
      </c>
      <c r="D28" s="73">
        <f t="shared" si="1"/>
        <v>227.65913114522891</v>
      </c>
      <c r="F28" s="35"/>
      <c r="G28" s="19"/>
      <c r="H28" s="8"/>
      <c r="I28" s="112"/>
      <c r="J28" s="8"/>
      <c r="K28" s="8"/>
    </row>
    <row r="29" spans="1:11" ht="15" customHeight="1" x14ac:dyDescent="0.2">
      <c r="A29" s="38">
        <v>11</v>
      </c>
      <c r="B29" s="73">
        <f t="shared" si="2"/>
        <v>649.10586899883822</v>
      </c>
      <c r="C29" s="74">
        <f t="shared" si="0"/>
        <v>404.48571428571427</v>
      </c>
      <c r="D29" s="73">
        <f t="shared" si="1"/>
        <v>208.68753688312648</v>
      </c>
      <c r="F29" s="221" t="s">
        <v>63</v>
      </c>
      <c r="G29" s="222"/>
      <c r="H29" s="222"/>
      <c r="I29" s="223"/>
      <c r="J29" s="8"/>
      <c r="K29" s="8"/>
    </row>
    <row r="30" spans="1:11" ht="15" customHeight="1" thickBot="1" x14ac:dyDescent="0.25">
      <c r="A30" s="38">
        <v>10</v>
      </c>
      <c r="B30" s="73">
        <f t="shared" si="2"/>
        <v>590.09624454439836</v>
      </c>
      <c r="C30" s="74">
        <f t="shared" si="0"/>
        <v>367.71428571428578</v>
      </c>
      <c r="D30" s="73">
        <f t="shared" si="1"/>
        <v>189.71594262102408</v>
      </c>
      <c r="F30" s="224"/>
      <c r="G30" s="225"/>
      <c r="H30" s="225"/>
      <c r="I30" s="226"/>
      <c r="J30" s="8"/>
      <c r="K30" s="8"/>
    </row>
    <row r="31" spans="1:11" ht="15" customHeight="1" thickBot="1" x14ac:dyDescent="0.25">
      <c r="A31" s="38">
        <v>9</v>
      </c>
      <c r="B31" s="73">
        <f t="shared" si="2"/>
        <v>531.0866200899585</v>
      </c>
      <c r="C31" s="74">
        <f t="shared" si="0"/>
        <v>330.94285714285718</v>
      </c>
      <c r="D31" s="73">
        <f t="shared" si="1"/>
        <v>170.74434835892166</v>
      </c>
      <c r="F31" s="134" t="s">
        <v>68</v>
      </c>
      <c r="G31" s="132" t="s">
        <v>53</v>
      </c>
      <c r="H31" s="130" t="s">
        <v>69</v>
      </c>
      <c r="I31" s="116" t="s">
        <v>55</v>
      </c>
      <c r="J31" s="8"/>
      <c r="K31" s="8"/>
    </row>
    <row r="32" spans="1:11" ht="15" customHeight="1" x14ac:dyDescent="0.2">
      <c r="A32" s="38">
        <v>8</v>
      </c>
      <c r="B32" s="73">
        <f t="shared" si="2"/>
        <v>472.0769956355187</v>
      </c>
      <c r="C32" s="74">
        <f t="shared" si="0"/>
        <v>294.17142857142858</v>
      </c>
      <c r="D32" s="73">
        <f t="shared" si="1"/>
        <v>151.77275409681926</v>
      </c>
      <c r="F32" s="306">
        <f>((I23/37.5*7.5*5)/7)*30*$C$40</f>
        <v>0</v>
      </c>
      <c r="G32" s="262">
        <f>IF(I26&lt;F32,F32,I26)</f>
        <v>0</v>
      </c>
      <c r="H32" s="264">
        <v>32.15</v>
      </c>
      <c r="I32" s="253">
        <f>G32*H32%</f>
        <v>0</v>
      </c>
      <c r="J32" s="8"/>
      <c r="K32" s="8"/>
    </row>
    <row r="33" spans="1:11" ht="15" customHeight="1" thickBot="1" x14ac:dyDescent="0.25">
      <c r="A33" s="38">
        <v>7</v>
      </c>
      <c r="B33" s="73">
        <f t="shared" si="2"/>
        <v>413.0673711810789</v>
      </c>
      <c r="C33" s="74">
        <f t="shared" si="0"/>
        <v>257.40000000000009</v>
      </c>
      <c r="D33" s="73">
        <f t="shared" si="1"/>
        <v>132.80115983471686</v>
      </c>
      <c r="F33" s="261"/>
      <c r="G33" s="263"/>
      <c r="H33" s="265"/>
      <c r="I33" s="266"/>
      <c r="J33" s="8"/>
      <c r="K33" s="8"/>
    </row>
    <row r="34" spans="1:11" ht="15" customHeight="1" thickBot="1" x14ac:dyDescent="0.25">
      <c r="A34" s="38">
        <v>6</v>
      </c>
      <c r="B34" s="73">
        <f t="shared" si="2"/>
        <v>354.05774672663904</v>
      </c>
      <c r="C34" s="74">
        <f t="shared" si="0"/>
        <v>220.62857142857141</v>
      </c>
      <c r="D34" s="73">
        <f t="shared" si="1"/>
        <v>113.82956557261446</v>
      </c>
      <c r="F34" s="255" t="s">
        <v>64</v>
      </c>
      <c r="G34" s="256"/>
      <c r="H34" s="257"/>
      <c r="I34" s="127">
        <f>SUM(I32)</f>
        <v>0</v>
      </c>
      <c r="J34" s="8"/>
      <c r="K34" s="8"/>
    </row>
    <row r="35" spans="1:11" ht="15" customHeight="1" x14ac:dyDescent="0.2">
      <c r="A35" s="38">
        <v>5</v>
      </c>
      <c r="B35" s="73">
        <f t="shared" si="2"/>
        <v>295.04812227219918</v>
      </c>
      <c r="C35" s="74">
        <f t="shared" si="0"/>
        <v>183.85714285714289</v>
      </c>
      <c r="D35" s="73">
        <f t="shared" si="1"/>
        <v>94.857971310512042</v>
      </c>
      <c r="F35" s="35"/>
      <c r="G35" s="19"/>
      <c r="H35" s="8"/>
      <c r="I35" s="112"/>
      <c r="J35" s="8"/>
      <c r="K35" s="133"/>
    </row>
    <row r="36" spans="1:11" ht="15" customHeight="1" x14ac:dyDescent="0.2">
      <c r="A36" s="38">
        <v>4</v>
      </c>
      <c r="B36" s="73">
        <f t="shared" si="2"/>
        <v>236.03849781775935</v>
      </c>
      <c r="C36" s="74">
        <f t="shared" si="0"/>
        <v>147.08571428571429</v>
      </c>
      <c r="D36" s="73">
        <f t="shared" si="1"/>
        <v>75.886377048409628</v>
      </c>
      <c r="F36" s="312" t="s">
        <v>120</v>
      </c>
      <c r="G36" s="312"/>
      <c r="H36" s="312"/>
      <c r="I36" s="259" t="s">
        <v>98</v>
      </c>
      <c r="K36" s="133"/>
    </row>
    <row r="37" spans="1:11" ht="15" customHeight="1" x14ac:dyDescent="0.2">
      <c r="A37" s="38">
        <v>3</v>
      </c>
      <c r="B37" s="73">
        <f t="shared" si="2"/>
        <v>177.02887336331952</v>
      </c>
      <c r="C37" s="74">
        <f t="shared" si="0"/>
        <v>110.3142857142857</v>
      </c>
      <c r="D37" s="73">
        <f t="shared" si="1"/>
        <v>56.914782786307228</v>
      </c>
      <c r="F37" s="312"/>
      <c r="G37" s="312"/>
      <c r="H37" s="312"/>
      <c r="I37" s="259"/>
      <c r="K37" s="133"/>
    </row>
    <row r="38" spans="1:11" ht="15" customHeight="1" x14ac:dyDescent="0.2">
      <c r="A38" s="38">
        <v>2</v>
      </c>
      <c r="B38" s="73">
        <f t="shared" si="2"/>
        <v>118.01924890887967</v>
      </c>
      <c r="C38" s="74">
        <f t="shared" si="0"/>
        <v>73.542857142857144</v>
      </c>
      <c r="D38" s="73">
        <f t="shared" si="1"/>
        <v>37.943188524204814</v>
      </c>
    </row>
    <row r="39" spans="1:11" ht="15" customHeight="1" x14ac:dyDescent="0.2">
      <c r="A39" s="39">
        <v>1</v>
      </c>
      <c r="B39" s="75">
        <f t="shared" si="2"/>
        <v>59.009624454439837</v>
      </c>
      <c r="C39" s="76">
        <f t="shared" si="0"/>
        <v>36.771428571428572</v>
      </c>
      <c r="D39" s="75">
        <f t="shared" si="1"/>
        <v>18.971594262102407</v>
      </c>
    </row>
    <row r="40" spans="1:11" ht="36" hidden="1" customHeight="1" thickBot="1" x14ac:dyDescent="0.25">
      <c r="B40" s="205" t="s">
        <v>16</v>
      </c>
      <c r="C40" s="206">
        <v>8.58</v>
      </c>
    </row>
    <row r="41" spans="1:11" hidden="1" x14ac:dyDescent="0.2"/>
    <row r="42" spans="1:11" hidden="1" x14ac:dyDescent="0.2"/>
  </sheetData>
  <sheetProtection algorithmName="SHA-512" hashValue="KV+3Gd2f5rlNTnEbnjN4mWW/efeRINCMqky7UErbvCxacVoW/ILyXtiZwOgx057ji8y9nKIsnjxLYbzFoVXImw==" saltValue="gluTl9hlR/7S89+kV8rCWA==" spinCount="100000" sheet="1" objects="1" scenarios="1"/>
  <protectedRanges>
    <protectedRange sqref="I36" name="CALCULO RC"/>
    <protectedRange sqref="I8" name="RET TP_1"/>
    <protectedRange sqref="I23" name="DED_1"/>
    <protectedRange sqref="I26" name="RET TP_2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I16:I17"/>
    <mergeCell ref="F18:G18"/>
    <mergeCell ref="F8:H9"/>
    <mergeCell ref="I8:I9"/>
    <mergeCell ref="F11:I12"/>
    <mergeCell ref="F14:F15"/>
    <mergeCell ref="G14:G15"/>
    <mergeCell ref="H14:H15"/>
    <mergeCell ref="I14:I15"/>
    <mergeCell ref="I36:I37"/>
    <mergeCell ref="H16:H17"/>
    <mergeCell ref="F36:H37"/>
    <mergeCell ref="F20:J21"/>
    <mergeCell ref="F32:F33"/>
    <mergeCell ref="G32:G33"/>
    <mergeCell ref="H32:H33"/>
    <mergeCell ref="I32:I33"/>
    <mergeCell ref="F34:H34"/>
    <mergeCell ref="F23:H24"/>
    <mergeCell ref="I23:I24"/>
    <mergeCell ref="F26:H27"/>
    <mergeCell ref="I26:I27"/>
    <mergeCell ref="F29:I30"/>
    <mergeCell ref="F16:F17"/>
    <mergeCell ref="G16:G17"/>
  </mergeCells>
  <phoneticPr fontId="0" type="noConversion"/>
  <hyperlinks>
    <hyperlink ref="I36:I37" r:id="rId1" display="CALCULO RC E INDEMNIZACION" xr:uid="{00000000-0004-0000-0700-000000000000}"/>
  </hyperlinks>
  <printOptions horizontalCentered="1"/>
  <pageMargins left="1.71875" right="0.94488188976377963" top="0" bottom="0.39370078740157483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R66"/>
  <sheetViews>
    <sheetView topLeftCell="B33" zoomScale="96" zoomScaleNormal="96" workbookViewId="0">
      <selection activeCell="H42" sqref="H42"/>
    </sheetView>
  </sheetViews>
  <sheetFormatPr baseColWidth="10" defaultColWidth="11.42578125" defaultRowHeight="12.75" x14ac:dyDescent="0.2"/>
  <cols>
    <col min="1" max="1" width="35.5703125" style="8" customWidth="1"/>
    <col min="2" max="3" width="18.28515625" style="99" customWidth="1"/>
    <col min="4" max="4" width="23.5703125" style="8" bestFit="1" customWidth="1"/>
    <col min="5" max="5" width="39.5703125" style="8" customWidth="1"/>
    <col min="6" max="6" width="11.42578125" style="8"/>
    <col min="7" max="7" width="10.85546875" style="8" customWidth="1"/>
    <col min="8" max="8" width="14.42578125" style="94" bestFit="1" customWidth="1"/>
    <col min="9" max="9" width="10.85546875" style="8" customWidth="1"/>
    <col min="10" max="11" width="20.7109375" style="8" bestFit="1" customWidth="1"/>
    <col min="12" max="15" width="11.42578125" style="8"/>
    <col min="16" max="16" width="13.7109375" style="8" customWidth="1"/>
    <col min="17" max="17" width="14.42578125" style="8" customWidth="1"/>
    <col min="18" max="16384" width="11.42578125" style="8"/>
  </cols>
  <sheetData>
    <row r="1" spans="1:8" s="21" customFormat="1" ht="26.25" thickBot="1" x14ac:dyDescent="0.25">
      <c r="A1" s="26" t="s">
        <v>0</v>
      </c>
      <c r="B1" s="87" t="s">
        <v>11</v>
      </c>
      <c r="C1" s="87" t="s">
        <v>9</v>
      </c>
      <c r="H1" s="89"/>
    </row>
    <row r="2" spans="1:8" ht="16.5" customHeight="1" x14ac:dyDescent="0.2">
      <c r="A2" s="11" t="s">
        <v>32</v>
      </c>
      <c r="B2" s="96">
        <f>B16</f>
        <v>2927.1400044444445</v>
      </c>
      <c r="C2" s="96">
        <f>C16</f>
        <v>3805.2818309722225</v>
      </c>
      <c r="D2" s="9"/>
      <c r="E2" s="9"/>
      <c r="G2" s="10"/>
      <c r="H2" s="90"/>
    </row>
    <row r="3" spans="1:8" ht="16.5" customHeight="1" x14ac:dyDescent="0.2">
      <c r="A3" s="11" t="s">
        <v>31</v>
      </c>
      <c r="B3" s="96">
        <f>B23</f>
        <v>2404.4364322222223</v>
      </c>
      <c r="C3" s="96">
        <f>C23</f>
        <v>3125.7663130555557</v>
      </c>
      <c r="D3" s="9"/>
      <c r="E3" s="9"/>
      <c r="G3" s="10"/>
      <c r="H3" s="90"/>
    </row>
    <row r="4" spans="1:8" ht="16.5" customHeight="1" x14ac:dyDescent="0.2">
      <c r="A4" s="11" t="s">
        <v>30</v>
      </c>
      <c r="B4" s="96">
        <f>B30</f>
        <v>0</v>
      </c>
      <c r="C4" s="96">
        <f>C30</f>
        <v>0</v>
      </c>
      <c r="D4" s="16"/>
      <c r="E4" s="16"/>
      <c r="F4" s="34"/>
    </row>
    <row r="5" spans="1:8" ht="16.5" customHeight="1" x14ac:dyDescent="0.2">
      <c r="A5" s="11" t="s">
        <v>38</v>
      </c>
      <c r="B5" s="96">
        <f>B37</f>
        <v>1777.1921455555555</v>
      </c>
      <c r="C5" s="96">
        <f>C37</f>
        <v>2310.3499640277778</v>
      </c>
      <c r="D5" s="34"/>
      <c r="E5" s="34"/>
      <c r="F5" s="129"/>
    </row>
    <row r="6" spans="1:8" ht="16.5" customHeight="1" x14ac:dyDescent="0.2">
      <c r="A6" s="11" t="s">
        <v>39</v>
      </c>
      <c r="B6" s="96">
        <f>B44</f>
        <v>1672.6505570833333</v>
      </c>
      <c r="C6" s="96">
        <f>C44</f>
        <v>2174.4456368055553</v>
      </c>
      <c r="E6" s="34"/>
      <c r="F6" s="129"/>
    </row>
    <row r="7" spans="1:8" ht="18" customHeight="1" x14ac:dyDescent="0.2">
      <c r="A7" s="11" t="s">
        <v>40</v>
      </c>
      <c r="B7" s="96">
        <f>B51</f>
        <v>1568.1107166666666</v>
      </c>
      <c r="C7" s="96">
        <f>C51</f>
        <v>2038.5439316666668</v>
      </c>
      <c r="E7" s="34"/>
      <c r="F7" s="129"/>
    </row>
    <row r="8" spans="1:8" ht="18.75" customHeight="1" x14ac:dyDescent="0.2">
      <c r="A8" s="11" t="s">
        <v>37</v>
      </c>
      <c r="B8" s="96">
        <f>F33</f>
        <v>2576.6325286438073</v>
      </c>
      <c r="C8" s="96"/>
      <c r="E8" s="34"/>
      <c r="F8" s="129"/>
    </row>
    <row r="9" spans="1:8" ht="19.5" customHeight="1" thickBot="1" x14ac:dyDescent="0.25">
      <c r="A9" s="22" t="s">
        <v>34</v>
      </c>
      <c r="B9" s="97">
        <f>F21</f>
        <v>2212.8609170414938</v>
      </c>
      <c r="C9" s="97"/>
      <c r="E9" s="34"/>
      <c r="F9" s="34"/>
    </row>
    <row r="10" spans="1:8" x14ac:dyDescent="0.2">
      <c r="A10" s="23"/>
      <c r="B10" s="98"/>
      <c r="C10" s="98"/>
      <c r="E10" s="34"/>
      <c r="F10" s="34"/>
    </row>
    <row r="11" spans="1:8" x14ac:dyDescent="0.2">
      <c r="E11" s="16"/>
      <c r="F11" s="16"/>
    </row>
    <row r="12" spans="1:8" ht="13.5" thickBot="1" x14ac:dyDescent="0.25">
      <c r="A12" s="14"/>
      <c r="D12" s="14"/>
      <c r="E12" s="17"/>
      <c r="F12" s="17"/>
    </row>
    <row r="13" spans="1:8" ht="26.25" thickBot="1" x14ac:dyDescent="0.25">
      <c r="A13" s="140" t="s">
        <v>32</v>
      </c>
      <c r="B13" s="141" t="s">
        <v>8</v>
      </c>
      <c r="C13" s="142" t="s">
        <v>10</v>
      </c>
      <c r="D13" s="14"/>
      <c r="E13" s="316" t="s">
        <v>28</v>
      </c>
      <c r="F13" s="317"/>
    </row>
    <row r="14" spans="1:8" ht="16.5" customHeight="1" thickTop="1" x14ac:dyDescent="0.25">
      <c r="A14" s="24" t="s">
        <v>12</v>
      </c>
      <c r="B14" s="100">
        <f>(D58)/12</f>
        <v>2832.7161333333333</v>
      </c>
      <c r="C14" s="101">
        <f>(E58)/12</f>
        <v>3682.5308041666667</v>
      </c>
      <c r="D14" s="14"/>
      <c r="E14" s="32" t="s">
        <v>101</v>
      </c>
      <c r="F14" s="211">
        <v>749.58207073145502</v>
      </c>
    </row>
    <row r="15" spans="1:8" ht="16.5" customHeight="1" x14ac:dyDescent="0.25">
      <c r="A15" s="24" t="s">
        <v>2</v>
      </c>
      <c r="B15" s="100">
        <f>B14/30*12/12</f>
        <v>94.423871111111112</v>
      </c>
      <c r="C15" s="101">
        <f>C14/30*12/12</f>
        <v>122.75102680555555</v>
      </c>
      <c r="D15" s="14"/>
      <c r="E15" s="32" t="s">
        <v>5</v>
      </c>
      <c r="F15" s="212">
        <v>381.57</v>
      </c>
    </row>
    <row r="16" spans="1:8" ht="16.5" customHeight="1" x14ac:dyDescent="0.25">
      <c r="A16" s="25" t="s">
        <v>29</v>
      </c>
      <c r="B16" s="102">
        <f>SUM(B14:B15)</f>
        <v>2927.1400044444445</v>
      </c>
      <c r="C16" s="103">
        <f>SUM(C14:C15)</f>
        <v>3805.2818309722225</v>
      </c>
      <c r="D16" s="14"/>
      <c r="E16" s="32" t="s">
        <v>6</v>
      </c>
      <c r="F16" s="212">
        <v>702.77516583143995</v>
      </c>
    </row>
    <row r="17" spans="1:8" ht="16.5" customHeight="1" x14ac:dyDescent="0.2">
      <c r="A17" s="14"/>
      <c r="B17" s="99">
        <f>B16*12</f>
        <v>35125.68005333333</v>
      </c>
      <c r="C17" s="99">
        <f>C16*12</f>
        <v>45663.381971666669</v>
      </c>
      <c r="D17" s="14"/>
      <c r="E17" s="32" t="s">
        <v>2</v>
      </c>
      <c r="F17" s="91">
        <f>SUM(F14:F16)/30*12/12</f>
        <v>61.130907885429828</v>
      </c>
      <c r="G17" s="8" t="s">
        <v>17</v>
      </c>
    </row>
    <row r="18" spans="1:8" ht="15" x14ac:dyDescent="0.25">
      <c r="A18" s="14"/>
      <c r="D18" s="14"/>
      <c r="E18" s="32" t="s">
        <v>102</v>
      </c>
      <c r="F18" s="214">
        <v>79.726044874919594</v>
      </c>
    </row>
    <row r="19" spans="1:8" x14ac:dyDescent="0.2">
      <c r="A19" s="14"/>
      <c r="D19" s="14"/>
      <c r="E19" s="32"/>
      <c r="F19" s="92"/>
    </row>
    <row r="20" spans="1:8" ht="26.25" thickBot="1" x14ac:dyDescent="0.25">
      <c r="A20" s="140" t="s">
        <v>31</v>
      </c>
      <c r="B20" s="141" t="s">
        <v>8</v>
      </c>
      <c r="C20" s="142" t="s">
        <v>10</v>
      </c>
      <c r="D20" s="14"/>
      <c r="E20" s="32" t="s">
        <v>1</v>
      </c>
      <c r="F20" s="91">
        <f>(742.745424852656+F15+F16)/6</f>
        <v>304.51509844734932</v>
      </c>
    </row>
    <row r="21" spans="1:8" ht="16.5" customHeight="1" thickTop="1" thickBot="1" x14ac:dyDescent="0.25">
      <c r="A21" s="24" t="s">
        <v>12</v>
      </c>
      <c r="B21" s="100">
        <f>(D59)/12</f>
        <v>2326.8739666666665</v>
      </c>
      <c r="C21" s="101">
        <f>(E59)/12</f>
        <v>3024.9351416666668</v>
      </c>
      <c r="D21" s="14"/>
      <c r="E21" s="15" t="s">
        <v>35</v>
      </c>
      <c r="F21" s="93">
        <f>SUM(F14:F17)+(F18/6)+F20</f>
        <v>2212.8609170414938</v>
      </c>
      <c r="G21" s="17"/>
      <c r="H21" s="95"/>
    </row>
    <row r="22" spans="1:8" ht="16.5" customHeight="1" x14ac:dyDescent="0.2">
      <c r="A22" s="24" t="s">
        <v>2</v>
      </c>
      <c r="B22" s="100">
        <f>B21/30*12/12</f>
        <v>77.562465555555548</v>
      </c>
      <c r="C22" s="101">
        <f>C21/30*12/12</f>
        <v>100.83117138888889</v>
      </c>
      <c r="D22" s="14"/>
      <c r="F22" s="94">
        <f>F21*12</f>
        <v>26554.331004497926</v>
      </c>
    </row>
    <row r="23" spans="1:8" ht="16.5" customHeight="1" x14ac:dyDescent="0.2">
      <c r="A23" s="25" t="s">
        <v>29</v>
      </c>
      <c r="B23" s="102">
        <f>SUM(B21:B22)</f>
        <v>2404.4364322222223</v>
      </c>
      <c r="C23" s="103">
        <f>SUM(C21:C22)</f>
        <v>3125.7663130555557</v>
      </c>
      <c r="D23" s="14"/>
      <c r="F23" s="94"/>
    </row>
    <row r="24" spans="1:8" ht="13.5" thickBot="1" x14ac:dyDescent="0.25">
      <c r="A24" s="14"/>
      <c r="B24" s="99">
        <f>B23*12</f>
        <v>28853.237186666665</v>
      </c>
      <c r="C24" s="99">
        <f>C23*12</f>
        <v>37509.195756666668</v>
      </c>
      <c r="D24" s="14"/>
      <c r="F24" s="94"/>
    </row>
    <row r="25" spans="1:8" ht="19.5" customHeight="1" thickBot="1" x14ac:dyDescent="0.25">
      <c r="A25" s="14"/>
      <c r="D25" s="14"/>
      <c r="E25" s="316" t="s">
        <v>27</v>
      </c>
      <c r="F25" s="317"/>
    </row>
    <row r="26" spans="1:8" ht="15" x14ac:dyDescent="0.25">
      <c r="B26" s="104"/>
      <c r="C26" s="104"/>
      <c r="D26" s="18"/>
      <c r="E26" s="32" t="s">
        <v>103</v>
      </c>
      <c r="F26" s="210">
        <v>900.63177585472397</v>
      </c>
    </row>
    <row r="27" spans="1:8" ht="29.25" thickBot="1" x14ac:dyDescent="0.3">
      <c r="A27" s="143" t="s">
        <v>30</v>
      </c>
      <c r="B27" s="141" t="s">
        <v>8</v>
      </c>
      <c r="C27" s="142" t="s">
        <v>10</v>
      </c>
      <c r="D27" s="13"/>
      <c r="E27" s="32" t="s">
        <v>3</v>
      </c>
      <c r="F27" s="212">
        <v>493.86</v>
      </c>
    </row>
    <row r="28" spans="1:8" ht="16.5" customHeight="1" thickTop="1" x14ac:dyDescent="0.25">
      <c r="A28" s="24" t="s">
        <v>12</v>
      </c>
      <c r="B28" s="100">
        <f>(D60)/12</f>
        <v>0</v>
      </c>
      <c r="C28" s="101">
        <f>(E60)/12</f>
        <v>0</v>
      </c>
      <c r="D28" s="13"/>
      <c r="E28" s="32" t="s">
        <v>4</v>
      </c>
      <c r="F28" s="212">
        <v>755.34536646465904</v>
      </c>
    </row>
    <row r="29" spans="1:8" ht="16.5" customHeight="1" x14ac:dyDescent="0.2">
      <c r="A29" s="24" t="s">
        <v>2</v>
      </c>
      <c r="B29" s="100">
        <v>0</v>
      </c>
      <c r="C29" s="101">
        <v>0</v>
      </c>
      <c r="D29" s="13"/>
      <c r="E29" s="32" t="s">
        <v>2</v>
      </c>
      <c r="F29" s="91">
        <f>SUM(F26:F28)/30*12/12</f>
        <v>71.661238077312774</v>
      </c>
      <c r="G29" s="8" t="s">
        <v>17</v>
      </c>
    </row>
    <row r="30" spans="1:8" ht="16.5" customHeight="1" x14ac:dyDescent="0.25">
      <c r="A30" s="25" t="s">
        <v>29</v>
      </c>
      <c r="B30" s="102">
        <f>SUM(B28:B29)</f>
        <v>0</v>
      </c>
      <c r="C30" s="103">
        <f>SUM(C28:C29)</f>
        <v>0</v>
      </c>
      <c r="D30" s="13"/>
      <c r="E30" s="32" t="s">
        <v>104</v>
      </c>
      <c r="F30" s="212">
        <v>103.179014163283</v>
      </c>
    </row>
    <row r="31" spans="1:8" x14ac:dyDescent="0.2">
      <c r="A31" s="17"/>
      <c r="B31" s="105"/>
      <c r="C31" s="105"/>
      <c r="D31" s="13"/>
      <c r="E31" s="32"/>
      <c r="F31" s="92"/>
    </row>
    <row r="32" spans="1:8" x14ac:dyDescent="0.2">
      <c r="A32" s="17"/>
      <c r="B32" s="105"/>
      <c r="C32" s="105"/>
      <c r="D32" s="13"/>
      <c r="E32" s="32" t="s">
        <v>1</v>
      </c>
      <c r="F32" s="91">
        <f>(778.420508854729+F27+F28)/6</f>
        <v>337.93764588656467</v>
      </c>
    </row>
    <row r="33" spans="1:6" ht="13.5" thickBot="1" x14ac:dyDescent="0.25">
      <c r="E33" s="15" t="s">
        <v>36</v>
      </c>
      <c r="F33" s="93">
        <f>SUM(F26:F29)+(F30/6)+F32</f>
        <v>2576.6325286438073</v>
      </c>
    </row>
    <row r="34" spans="1:6" ht="26.25" thickBot="1" x14ac:dyDescent="0.25">
      <c r="A34" s="140" t="s">
        <v>38</v>
      </c>
      <c r="B34" s="141" t="s">
        <v>8</v>
      </c>
      <c r="C34" s="142" t="s">
        <v>10</v>
      </c>
      <c r="D34" s="13"/>
      <c r="F34" s="8">
        <f>F33*12</f>
        <v>30919.590343725686</v>
      </c>
    </row>
    <row r="35" spans="1:6" ht="16.5" customHeight="1" thickTop="1" x14ac:dyDescent="0.2">
      <c r="A35" s="24" t="s">
        <v>12</v>
      </c>
      <c r="B35" s="100">
        <f>(D62)/12</f>
        <v>1719.8633666666667</v>
      </c>
      <c r="C35" s="101">
        <f>(E62)/12</f>
        <v>2235.8225458333332</v>
      </c>
      <c r="D35" s="13"/>
    </row>
    <row r="36" spans="1:6" ht="16.5" customHeight="1" x14ac:dyDescent="0.2">
      <c r="A36" s="24" t="s">
        <v>2</v>
      </c>
      <c r="B36" s="100">
        <f>B35/30*12/12</f>
        <v>57.328778888888884</v>
      </c>
      <c r="C36" s="101">
        <f>C35/30*12/12</f>
        <v>74.527418194444436</v>
      </c>
      <c r="D36" s="13"/>
    </row>
    <row r="37" spans="1:6" ht="16.5" customHeight="1" x14ac:dyDescent="0.2">
      <c r="A37" s="25" t="s">
        <v>29</v>
      </c>
      <c r="B37" s="102">
        <f>SUM(B35:B36)</f>
        <v>1777.1921455555555</v>
      </c>
      <c r="C37" s="103">
        <f>SUM(C35:C36)</f>
        <v>2310.3499640277778</v>
      </c>
      <c r="D37" s="13"/>
    </row>
    <row r="38" spans="1:6" x14ac:dyDescent="0.2">
      <c r="A38" s="17"/>
      <c r="B38" s="105">
        <f>B37*12</f>
        <v>21326.305746666665</v>
      </c>
      <c r="C38" s="105">
        <f>C37*12</f>
        <v>27724.199568333333</v>
      </c>
      <c r="D38" s="13"/>
    </row>
    <row r="39" spans="1:6" x14ac:dyDescent="0.2">
      <c r="A39" s="17"/>
      <c r="B39" s="105"/>
      <c r="C39" s="105"/>
      <c r="D39" s="13"/>
    </row>
    <row r="40" spans="1:6" x14ac:dyDescent="0.2">
      <c r="B40" s="104"/>
      <c r="C40" s="104"/>
      <c r="D40" s="13"/>
    </row>
    <row r="41" spans="1:6" ht="26.25" thickBot="1" x14ac:dyDescent="0.25">
      <c r="A41" s="140" t="s">
        <v>39</v>
      </c>
      <c r="B41" s="141" t="s">
        <v>8</v>
      </c>
      <c r="C41" s="142" t="s">
        <v>10</v>
      </c>
      <c r="D41" s="13"/>
    </row>
    <row r="42" spans="1:6" ht="16.5" customHeight="1" thickTop="1" x14ac:dyDescent="0.2">
      <c r="A42" s="24" t="s">
        <v>12</v>
      </c>
      <c r="B42" s="100">
        <f>(D63)/12</f>
        <v>1618.6940875</v>
      </c>
      <c r="C42" s="101">
        <f>(E63)/12</f>
        <v>2104.3022291666666</v>
      </c>
      <c r="D42" s="13"/>
    </row>
    <row r="43" spans="1:6" ht="16.5" customHeight="1" x14ac:dyDescent="0.2">
      <c r="A43" s="24" t="s">
        <v>7</v>
      </c>
      <c r="B43" s="100">
        <f>B42/30*12/12</f>
        <v>53.956469583333337</v>
      </c>
      <c r="C43" s="101">
        <f>C42/30*12/12</f>
        <v>70.143407638888888</v>
      </c>
      <c r="D43" s="13"/>
    </row>
    <row r="44" spans="1:6" ht="16.5" customHeight="1" x14ac:dyDescent="0.2">
      <c r="A44" s="25" t="s">
        <v>29</v>
      </c>
      <c r="B44" s="102">
        <f>SUM(B42:B43)</f>
        <v>1672.6505570833333</v>
      </c>
      <c r="C44" s="103">
        <f>SUM(C42:C43)</f>
        <v>2174.4456368055553</v>
      </c>
      <c r="D44" s="13"/>
    </row>
    <row r="45" spans="1:6" x14ac:dyDescent="0.2">
      <c r="A45" s="17"/>
      <c r="B45" s="105">
        <f>B44*12</f>
        <v>20071.806685</v>
      </c>
      <c r="C45" s="105">
        <f>C44*12</f>
        <v>26093.347641666664</v>
      </c>
      <c r="D45" s="13"/>
    </row>
    <row r="46" spans="1:6" x14ac:dyDescent="0.2">
      <c r="A46" s="17"/>
      <c r="B46" s="105"/>
      <c r="C46" s="105"/>
      <c r="D46" s="13"/>
    </row>
    <row r="47" spans="1:6" x14ac:dyDescent="0.2">
      <c r="A47" s="12"/>
      <c r="B47" s="88"/>
      <c r="C47" s="88"/>
      <c r="D47" s="13"/>
    </row>
    <row r="48" spans="1:6" ht="26.25" thickBot="1" x14ac:dyDescent="0.25">
      <c r="A48" s="140" t="s">
        <v>96</v>
      </c>
      <c r="B48" s="141" t="s">
        <v>8</v>
      </c>
      <c r="C48" s="142" t="s">
        <v>10</v>
      </c>
      <c r="D48" s="13"/>
    </row>
    <row r="49" spans="1:18" ht="16.5" customHeight="1" thickTop="1" x14ac:dyDescent="0.2">
      <c r="A49" s="24" t="s">
        <v>12</v>
      </c>
      <c r="B49" s="100">
        <f>(D64)/12</f>
        <v>1517.5264999999999</v>
      </c>
      <c r="C49" s="101">
        <f>(E64)/12</f>
        <v>1972.7844500000001</v>
      </c>
    </row>
    <row r="50" spans="1:18" ht="16.5" customHeight="1" x14ac:dyDescent="0.2">
      <c r="A50" s="24" t="s">
        <v>2</v>
      </c>
      <c r="B50" s="100">
        <f>B49/30*12/12</f>
        <v>50.584216666666663</v>
      </c>
      <c r="C50" s="101">
        <f>C49/30*12/12</f>
        <v>65.759481666666673</v>
      </c>
      <c r="D50" s="19"/>
    </row>
    <row r="51" spans="1:18" ht="16.5" customHeight="1" x14ac:dyDescent="0.2">
      <c r="A51" s="25" t="s">
        <v>29</v>
      </c>
      <c r="B51" s="102">
        <f>SUM(B49:B50)</f>
        <v>1568.1107166666666</v>
      </c>
      <c r="C51" s="103">
        <f>SUM(C49:C50)</f>
        <v>2038.5439316666668</v>
      </c>
      <c r="D51" s="20"/>
    </row>
    <row r="52" spans="1:18" x14ac:dyDescent="0.2">
      <c r="B52" s="99">
        <f>B51*12</f>
        <v>18817.328600000001</v>
      </c>
      <c r="C52" s="99">
        <f>C51*12</f>
        <v>24462.527180000001</v>
      </c>
      <c r="D52" s="18"/>
    </row>
    <row r="53" spans="1:18" x14ac:dyDescent="0.2">
      <c r="D53" s="215">
        <v>1.4999999999999999E-2</v>
      </c>
      <c r="J53" s="215">
        <v>2.5000000000000001E-2</v>
      </c>
      <c r="P53" s="215" t="s">
        <v>105</v>
      </c>
      <c r="Q53" s="216"/>
      <c r="R53" s="216"/>
    </row>
    <row r="54" spans="1:18" ht="13.5" thickBot="1" x14ac:dyDescent="0.25"/>
    <row r="55" spans="1:18" ht="12.75" customHeight="1" x14ac:dyDescent="0.2">
      <c r="A55" s="318" t="s">
        <v>108</v>
      </c>
      <c r="B55" s="318"/>
      <c r="C55" s="320"/>
      <c r="D55" s="28" t="s">
        <v>18</v>
      </c>
      <c r="E55" s="28" t="s">
        <v>18</v>
      </c>
      <c r="G55" s="318" t="s">
        <v>106</v>
      </c>
      <c r="H55" s="318"/>
      <c r="I55" s="331"/>
      <c r="J55" s="110" t="s">
        <v>18</v>
      </c>
      <c r="K55" s="110" t="s">
        <v>18</v>
      </c>
      <c r="M55" s="318" t="s">
        <v>107</v>
      </c>
      <c r="N55" s="318"/>
      <c r="O55" s="331"/>
      <c r="P55" s="110" t="s">
        <v>18</v>
      </c>
      <c r="Q55" s="110" t="s">
        <v>18</v>
      </c>
    </row>
    <row r="56" spans="1:18" ht="28.9" customHeight="1" thickBot="1" x14ac:dyDescent="0.25">
      <c r="A56" s="319"/>
      <c r="B56" s="319"/>
      <c r="C56" s="321"/>
      <c r="D56" s="29" t="s">
        <v>19</v>
      </c>
      <c r="E56" s="29" t="s">
        <v>20</v>
      </c>
      <c r="G56" s="319"/>
      <c r="H56" s="319"/>
      <c r="I56" s="332"/>
      <c r="J56" s="111" t="s">
        <v>19</v>
      </c>
      <c r="K56" s="111" t="s">
        <v>20</v>
      </c>
      <c r="M56" s="319"/>
      <c r="N56" s="319"/>
      <c r="O56" s="332"/>
      <c r="P56" s="111" t="s">
        <v>19</v>
      </c>
      <c r="Q56" s="111" t="s">
        <v>20</v>
      </c>
    </row>
    <row r="57" spans="1:18" ht="15" thickBot="1" x14ac:dyDescent="0.25">
      <c r="A57" s="322" t="s">
        <v>21</v>
      </c>
      <c r="B57" s="323"/>
      <c r="C57" s="323"/>
      <c r="D57" s="323"/>
      <c r="E57" s="324"/>
      <c r="G57" s="333" t="s">
        <v>21</v>
      </c>
      <c r="H57" s="334"/>
      <c r="I57" s="334"/>
      <c r="J57" s="334"/>
      <c r="K57" s="335"/>
      <c r="M57" s="333" t="s">
        <v>21</v>
      </c>
      <c r="N57" s="334"/>
      <c r="O57" s="334"/>
      <c r="P57" s="334"/>
      <c r="Q57" s="335"/>
    </row>
    <row r="58" spans="1:18" ht="18" customHeight="1" x14ac:dyDescent="0.2">
      <c r="A58" s="315"/>
      <c r="B58" s="313" t="s">
        <v>41</v>
      </c>
      <c r="C58" s="314"/>
      <c r="D58" s="107">
        <f>1.5%*J58+J58</f>
        <v>33992.5936</v>
      </c>
      <c r="E58" s="107">
        <f>1.5%*K58+K58</f>
        <v>44190.369650000001</v>
      </c>
      <c r="G58" s="336"/>
      <c r="H58" s="313" t="s">
        <v>41</v>
      </c>
      <c r="I58" s="314"/>
      <c r="J58" s="107">
        <v>33490.239999999998</v>
      </c>
      <c r="K58" s="107">
        <v>43537.31</v>
      </c>
      <c r="M58" s="336"/>
      <c r="N58" s="313" t="s">
        <v>41</v>
      </c>
      <c r="O58" s="314"/>
      <c r="P58" s="107">
        <v>32673.4</v>
      </c>
      <c r="Q58" s="107">
        <v>42475.42</v>
      </c>
    </row>
    <row r="59" spans="1:18" ht="18" customHeight="1" x14ac:dyDescent="0.2">
      <c r="A59" s="315"/>
      <c r="B59" s="313" t="s">
        <v>42</v>
      </c>
      <c r="C59" s="314"/>
      <c r="D59" s="107">
        <f>1.5%*J59+J59</f>
        <v>27922.4876</v>
      </c>
      <c r="E59" s="107">
        <f>1.5%*K59+K59</f>
        <v>36299.221700000002</v>
      </c>
      <c r="G59" s="336"/>
      <c r="H59" s="313" t="s">
        <v>42</v>
      </c>
      <c r="I59" s="314"/>
      <c r="J59" s="107">
        <v>27509.84</v>
      </c>
      <c r="K59" s="107">
        <v>35762.78</v>
      </c>
      <c r="M59" s="336"/>
      <c r="N59" s="313" t="s">
        <v>42</v>
      </c>
      <c r="O59" s="314"/>
      <c r="P59" s="107">
        <v>26838.87</v>
      </c>
      <c r="Q59" s="107">
        <v>34890.519999999997</v>
      </c>
    </row>
    <row r="60" spans="1:18" ht="30.6" customHeight="1" thickBot="1" x14ac:dyDescent="0.25">
      <c r="A60" s="315"/>
      <c r="B60" s="313" t="s">
        <v>22</v>
      </c>
      <c r="C60" s="314"/>
      <c r="D60" s="135"/>
      <c r="E60" s="107"/>
      <c r="G60" s="336"/>
      <c r="H60" s="313" t="s">
        <v>22</v>
      </c>
      <c r="I60" s="314"/>
      <c r="J60" s="107"/>
      <c r="K60" s="107"/>
      <c r="M60" s="336"/>
      <c r="N60" s="313" t="s">
        <v>22</v>
      </c>
      <c r="O60" s="314"/>
      <c r="P60" s="107"/>
      <c r="Q60" s="107"/>
    </row>
    <row r="61" spans="1:18" ht="15" thickBot="1" x14ac:dyDescent="0.25">
      <c r="A61" s="322" t="s">
        <v>23</v>
      </c>
      <c r="B61" s="323"/>
      <c r="C61" s="323"/>
      <c r="D61" s="325"/>
      <c r="E61" s="324"/>
      <c r="G61" s="333" t="s">
        <v>23</v>
      </c>
      <c r="H61" s="334"/>
      <c r="I61" s="334"/>
      <c r="J61" s="334"/>
      <c r="K61" s="335"/>
      <c r="M61" s="333" t="s">
        <v>23</v>
      </c>
      <c r="N61" s="334"/>
      <c r="O61" s="334"/>
      <c r="P61" s="334"/>
      <c r="Q61" s="335"/>
    </row>
    <row r="62" spans="1:18" ht="18" customHeight="1" thickBot="1" x14ac:dyDescent="0.25">
      <c r="A62" s="315"/>
      <c r="B62" s="327" t="s">
        <v>24</v>
      </c>
      <c r="C62" s="327"/>
      <c r="D62" s="108">
        <f>1.5%*J62+J62</f>
        <v>20638.360400000001</v>
      </c>
      <c r="E62" s="108">
        <f>1.5%*K62+K62</f>
        <v>26829.87055</v>
      </c>
      <c r="G62" s="336"/>
      <c r="H62" s="327" t="s">
        <v>24</v>
      </c>
      <c r="I62" s="327"/>
      <c r="J62" s="108">
        <v>20333.36</v>
      </c>
      <c r="K62" s="108">
        <v>26433.37</v>
      </c>
      <c r="M62" s="336"/>
      <c r="N62" s="327" t="s">
        <v>24</v>
      </c>
      <c r="O62" s="327"/>
      <c r="P62" s="108">
        <v>19837.419999999998</v>
      </c>
      <c r="Q62" s="108">
        <v>25788.65</v>
      </c>
    </row>
    <row r="63" spans="1:18" ht="18" customHeight="1" thickBot="1" x14ac:dyDescent="0.25">
      <c r="A63" s="315"/>
      <c r="B63" s="328" t="s">
        <v>25</v>
      </c>
      <c r="C63" s="328"/>
      <c r="D63" s="108">
        <f t="shared" ref="D63:D64" si="0">1.5%*J63+J63</f>
        <v>19424.32905</v>
      </c>
      <c r="E63" s="108">
        <f t="shared" ref="E63:E64" si="1">1.5%*K63+K63</f>
        <v>25251.626749999999</v>
      </c>
      <c r="G63" s="336"/>
      <c r="H63" s="328" t="s">
        <v>25</v>
      </c>
      <c r="I63" s="328"/>
      <c r="J63" s="209">
        <v>19137.27</v>
      </c>
      <c r="K63" s="209">
        <v>24878.45</v>
      </c>
      <c r="M63" s="336"/>
      <c r="N63" s="328" t="s">
        <v>25</v>
      </c>
      <c r="O63" s="328"/>
      <c r="P63" s="209">
        <v>18670.509999999998</v>
      </c>
      <c r="Q63" s="209">
        <v>24271.66</v>
      </c>
    </row>
    <row r="64" spans="1:18" ht="18" customHeight="1" x14ac:dyDescent="0.2">
      <c r="A64" s="315"/>
      <c r="B64" s="329" t="s">
        <v>26</v>
      </c>
      <c r="C64" s="329"/>
      <c r="D64" s="108">
        <f t="shared" si="0"/>
        <v>18210.317999999999</v>
      </c>
      <c r="E64" s="108">
        <f t="shared" si="1"/>
        <v>23673.413400000001</v>
      </c>
      <c r="G64" s="336"/>
      <c r="H64" s="329" t="s">
        <v>26</v>
      </c>
      <c r="I64" s="329"/>
      <c r="J64" s="109">
        <v>17941.2</v>
      </c>
      <c r="K64" s="109">
        <v>23323.56</v>
      </c>
      <c r="M64" s="336"/>
      <c r="N64" s="329" t="s">
        <v>26</v>
      </c>
      <c r="O64" s="329"/>
      <c r="P64" s="109">
        <v>17503.61</v>
      </c>
      <c r="Q64" s="109">
        <v>22754.69</v>
      </c>
    </row>
    <row r="65" spans="1:17" ht="18" customHeight="1" x14ac:dyDescent="0.2">
      <c r="A65" s="315"/>
      <c r="B65" s="329" t="s">
        <v>27</v>
      </c>
      <c r="C65" s="329"/>
      <c r="D65" s="30"/>
      <c r="E65" s="30"/>
      <c r="G65" s="336"/>
      <c r="H65" s="329" t="s">
        <v>27</v>
      </c>
      <c r="I65" s="329"/>
      <c r="J65" s="30"/>
      <c r="K65" s="30"/>
      <c r="M65" s="336"/>
      <c r="N65" s="329" t="s">
        <v>27</v>
      </c>
      <c r="O65" s="329"/>
      <c r="P65" s="30"/>
      <c r="Q65" s="30"/>
    </row>
    <row r="66" spans="1:17" ht="18" customHeight="1" thickBot="1" x14ac:dyDescent="0.25">
      <c r="A66" s="326"/>
      <c r="B66" s="330" t="s">
        <v>28</v>
      </c>
      <c r="C66" s="330"/>
      <c r="D66" s="31"/>
      <c r="E66" s="31"/>
      <c r="G66" s="337"/>
      <c r="H66" s="330" t="s">
        <v>28</v>
      </c>
      <c r="I66" s="330"/>
      <c r="J66" s="31"/>
      <c r="K66" s="31"/>
      <c r="M66" s="337"/>
      <c r="N66" s="330" t="s">
        <v>28</v>
      </c>
      <c r="O66" s="330"/>
      <c r="P66" s="31"/>
      <c r="Q66" s="31"/>
    </row>
  </sheetData>
  <mergeCells count="44">
    <mergeCell ref="M61:Q61"/>
    <mergeCell ref="M62:M66"/>
    <mergeCell ref="N62:O62"/>
    <mergeCell ref="N63:O63"/>
    <mergeCell ref="N64:O64"/>
    <mergeCell ref="N65:O65"/>
    <mergeCell ref="N66:O66"/>
    <mergeCell ref="M55:N56"/>
    <mergeCell ref="O55:O56"/>
    <mergeCell ref="M57:Q57"/>
    <mergeCell ref="M58:M60"/>
    <mergeCell ref="N58:O58"/>
    <mergeCell ref="N59:O59"/>
    <mergeCell ref="N60:O60"/>
    <mergeCell ref="G61:K61"/>
    <mergeCell ref="G62:G66"/>
    <mergeCell ref="H62:I62"/>
    <mergeCell ref="H63:I63"/>
    <mergeCell ref="H64:I64"/>
    <mergeCell ref="H65:I65"/>
    <mergeCell ref="H66:I66"/>
    <mergeCell ref="I55:I56"/>
    <mergeCell ref="G57:K57"/>
    <mergeCell ref="G58:G60"/>
    <mergeCell ref="H58:I58"/>
    <mergeCell ref="H59:I59"/>
    <mergeCell ref="H60:I60"/>
    <mergeCell ref="G55:H56"/>
    <mergeCell ref="A61:E61"/>
    <mergeCell ref="A62:A66"/>
    <mergeCell ref="B62:C62"/>
    <mergeCell ref="B63:C63"/>
    <mergeCell ref="B64:C64"/>
    <mergeCell ref="B65:C65"/>
    <mergeCell ref="B66:C66"/>
    <mergeCell ref="B60:C60"/>
    <mergeCell ref="B59:C59"/>
    <mergeCell ref="B58:C58"/>
    <mergeCell ref="A58:A60"/>
    <mergeCell ref="E13:F13"/>
    <mergeCell ref="A55:B56"/>
    <mergeCell ref="C55:C56"/>
    <mergeCell ref="A57:E57"/>
    <mergeCell ref="E25:F25"/>
  </mergeCells>
  <phoneticPr fontId="0" type="noConversion"/>
  <pageMargins left="0.74803149606299213" right="0.31496062992125984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INVESTIGADOR SENIOR</vt:lpstr>
      <vt:lpstr>INVESTIGADOR JUNIOR</vt:lpstr>
      <vt:lpstr>INVEST. EN FORMACIÓN-PRÁCTICAS</vt:lpstr>
      <vt:lpstr>TITULADOS SUPERIORES I</vt:lpstr>
      <vt:lpstr>TITULADOS SUPERIORES II</vt:lpstr>
      <vt:lpstr>TITULADOS DE GRADO MEDIO</vt:lpstr>
      <vt:lpstr>ESPECIALISTAS TECNICOS</vt:lpstr>
      <vt:lpstr>AUXILIARES</vt:lpstr>
      <vt:lpstr>PARAMETROS</vt:lpstr>
      <vt:lpstr>AUXILIARES!Área_de_impresión</vt:lpstr>
      <vt:lpstr>'INVEST. EN FORMACIÓN-PRÁCTICAS'!Área_de_impresión</vt:lpstr>
      <vt:lpstr>'INVESTIGADOR JUNIOR'!Área_de_impresión</vt:lpstr>
      <vt:lpstr>'INVESTIGADOR SENIOR'!Área_de_impresión</vt:lpstr>
      <vt:lpstr>'TITULADOS DE GRADO MEDIO'!Área_de_impresión</vt:lpstr>
      <vt:lpstr>'TITULADOS SUPERIORES I'!Área_de_impresión</vt:lpstr>
      <vt:lpstr>'TITULADOS SUPERIORES II'!Área_de_impresión</vt:lpstr>
      <vt:lpstr>AUXILIARES!Títulos_a_imprimir</vt:lpstr>
      <vt:lpstr>'INVEST. EN FORMACIÓN-PRÁCTICAS'!Títulos_a_imprimir</vt:lpstr>
      <vt:lpstr>'INVESTIGADOR JUNIOR'!Títulos_a_imprimir</vt:lpstr>
      <vt:lpstr>'INVESTIGADOR SENIOR'!Títulos_a_imprimir</vt:lpstr>
      <vt:lpstr>'TITULADOS DE GRADO MEDIO'!Títulos_a_imprimir</vt:lpstr>
      <vt:lpstr>'TITULADOS SUPERIORES I'!Títulos_a_imprimir</vt:lpstr>
      <vt:lpstr>'TITULADOS SUPERIORES II'!Títulos_a_imprimir</vt:lpstr>
    </vt:vector>
  </TitlesOfParts>
  <Company>oscar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gcremades@umh.es</dc:creator>
  <cp:lastModifiedBy>Fuentes Garcia, Susana</cp:lastModifiedBy>
  <cp:lastPrinted>2023-02-20T09:51:06Z</cp:lastPrinted>
  <dcterms:created xsi:type="dcterms:W3CDTF">2003-11-11T19:24:53Z</dcterms:created>
  <dcterms:modified xsi:type="dcterms:W3CDTF">2026-04-17T07:53:42Z</dcterms:modified>
</cp:coreProperties>
</file>