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+General\ESTADISTICAS ISA\PRESUPUESTOS\PRESUPUESTOS 2025\Anexo Presupuesto I+D  01.01.25\4. Actualización orden 01.07.25 efectos de 01.09.25 salvo predo\"/>
    </mc:Choice>
  </mc:AlternateContent>
  <xr:revisionPtr revIDLastSave="0" documentId="13_ncr:1_{FB08EF1E-A4D8-41F0-96D4-83F9615E0166}" xr6:coauthVersionLast="47" xr6:coauthVersionMax="47" xr10:uidLastSave="{00000000-0000-0000-0000-000000000000}"/>
  <workbookProtection workbookAlgorithmName="SHA-512" workbookHashValue="RQmX6eWIBDe56nUrT2cYOG49KJStXW5OzM9hVz2i7peWwdW8gMC5we2scP7lIMLsvEevJvuIMbrX6K+fAbHu6g==" workbookSaltValue="QilCjoo0iuK4K97h5mMYqw==" workbookSpinCount="100000" lockStructure="1"/>
  <bookViews>
    <workbookView xWindow="-120" yWindow="-120" windowWidth="29040" windowHeight="15720" tabRatio="859" activeTab="7" xr2:uid="{00000000-000D-0000-FFFF-FFFF00000000}"/>
  </bookViews>
  <sheets>
    <sheet name="INVESTIGADOR SENIOR" sheetId="7" r:id="rId1"/>
    <sheet name="INVESTIGADOR JUNIOR" sheetId="13" r:id="rId2"/>
    <sheet name="INVEST. EN FORMACIÓN-PRÁCTICAS" sheetId="14" state="hidden" r:id="rId3"/>
    <sheet name="TITULADOS SUPERIORES I" sheetId="12" r:id="rId4"/>
    <sheet name="TITULADOS SUPERIORES II" sheetId="11" r:id="rId5"/>
    <sheet name="TITULADOS DE GRADO MEDIO" sheetId="5" r:id="rId6"/>
    <sheet name="ESPECIALISTAS TECNICOS" sheetId="4" r:id="rId7"/>
    <sheet name="AUXILIARES" sheetId="2" r:id="rId8"/>
    <sheet name="PARAMETROS" sheetId="3" state="hidden" r:id="rId9"/>
  </sheets>
  <definedNames>
    <definedName name="_xlnm.Print_Area" localSheetId="7">AUXILIARES!$A$2:$D$39</definedName>
    <definedName name="_xlnm.Print_Area" localSheetId="2">'INVEST. EN FORMACIÓN-PRÁCTICAS'!$A$2:$C$10</definedName>
    <definedName name="_xlnm.Print_Area" localSheetId="1">'INVESTIGADOR JUNIOR'!$A$2:$G$40</definedName>
    <definedName name="_xlnm.Print_Area" localSheetId="0">'INVESTIGADOR SENIOR'!$A$2:$G$40</definedName>
    <definedName name="_xlnm.Print_Area" localSheetId="5">'TITULADOS DE GRADO MEDIO'!$A$2:$G$40</definedName>
    <definedName name="_xlnm.Print_Area" localSheetId="3">'TITULADOS SUPERIORES I'!$A$2:$G$40</definedName>
    <definedName name="_xlnm.Print_Area" localSheetId="4">'TITULADOS SUPERIORES II'!$A$2:$G$40</definedName>
    <definedName name="RETRIBUCION">#REF!</definedName>
    <definedName name="_xlnm.Print_Titles" localSheetId="7">AUXILIARES!$2:$2</definedName>
    <definedName name="_xlnm.Print_Titles" localSheetId="2">'INVEST. EN FORMACIÓN-PRÁCTICAS'!$2:$3</definedName>
    <definedName name="_xlnm.Print_Titles" localSheetId="1">'INVESTIGADOR JUNIOR'!$2:$3</definedName>
    <definedName name="_xlnm.Print_Titles" localSheetId="0">'INVESTIGADOR SENIOR'!$2:$3</definedName>
    <definedName name="_xlnm.Print_Titles" localSheetId="5">'TITULADOS DE GRADO MEDIO'!$2:$3</definedName>
    <definedName name="_xlnm.Print_Titles" localSheetId="3">'TITULADOS SUPERIORES I'!$2:$3</definedName>
    <definedName name="_xlnm.Print_Titles" localSheetId="4">'TITULADOS SUPERIORES II'!$2:$3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3" l="1"/>
  <c r="F32" i="3"/>
  <c r="F20" i="3"/>
  <c r="E64" i="3" l="1"/>
  <c r="E63" i="3"/>
  <c r="E62" i="3"/>
  <c r="E59" i="3"/>
  <c r="E58" i="3"/>
  <c r="D63" i="3"/>
  <c r="D62" i="3"/>
  <c r="D59" i="3"/>
  <c r="D58" i="3"/>
  <c r="G14" i="4" l="1"/>
  <c r="F17" i="3" l="1"/>
  <c r="F21" i="3" s="1"/>
  <c r="K18" i="11" l="1"/>
  <c r="B8" i="14" l="1"/>
  <c r="C8" i="14" s="1"/>
  <c r="B7" i="14"/>
  <c r="D7" i="14" s="1"/>
  <c r="B6" i="14"/>
  <c r="D6" i="14" s="1"/>
  <c r="B5" i="14"/>
  <c r="D5" i="14" s="1"/>
  <c r="D4" i="14"/>
  <c r="C4" i="14"/>
  <c r="C5" i="14" l="1"/>
  <c r="C6" i="14"/>
  <c r="C7" i="14"/>
  <c r="D8" i="14"/>
  <c r="B10" i="14"/>
  <c r="D10" i="14" s="1"/>
  <c r="F32" i="2"/>
  <c r="F32" i="4"/>
  <c r="I32" i="5"/>
  <c r="I32" i="11"/>
  <c r="I32" i="12"/>
  <c r="I32" i="13"/>
  <c r="I32" i="7"/>
  <c r="C10" i="14" l="1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B14" i="3" l="1"/>
  <c r="B15" i="3" s="1"/>
  <c r="G22" i="14" l="1"/>
  <c r="I22" i="14" s="1"/>
  <c r="G11" i="14"/>
  <c r="G20" i="14"/>
  <c r="H24" i="14"/>
  <c r="H13" i="14" l="1"/>
  <c r="I11" i="14"/>
  <c r="G9" i="14"/>
  <c r="I9" i="14" s="1"/>
  <c r="I13" i="14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" i="2"/>
  <c r="H18" i="4" l="1"/>
  <c r="H18" i="2"/>
  <c r="G32" i="2"/>
  <c r="I32" i="2" s="1"/>
  <c r="I34" i="2" s="1"/>
  <c r="G16" i="2"/>
  <c r="I16" i="2" s="1"/>
  <c r="G14" i="2"/>
  <c r="I14" i="2" s="1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" i="4"/>
  <c r="G32" i="4"/>
  <c r="I32" i="4" s="1"/>
  <c r="I34" i="4" s="1"/>
  <c r="I14" i="4"/>
  <c r="G16" i="4"/>
  <c r="I16" i="4" s="1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5" i="5"/>
  <c r="J32" i="5"/>
  <c r="L32" i="5" s="1"/>
  <c r="L34" i="5" s="1"/>
  <c r="K18" i="5"/>
  <c r="J16" i="5"/>
  <c r="L16" i="5" s="1"/>
  <c r="J14" i="5"/>
  <c r="L14" i="5" s="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5" i="11"/>
  <c r="J32" i="11"/>
  <c r="L32" i="11" s="1"/>
  <c r="L34" i="11" s="1"/>
  <c r="J16" i="11"/>
  <c r="L16" i="11" s="1"/>
  <c r="J14" i="11"/>
  <c r="L14" i="11" s="1"/>
  <c r="J32" i="12"/>
  <c r="L32" i="12" s="1"/>
  <c r="L34" i="12" s="1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5" i="12"/>
  <c r="K18" i="12"/>
  <c r="J16" i="12"/>
  <c r="L16" i="12" s="1"/>
  <c r="J14" i="12"/>
  <c r="L14" i="12" s="1"/>
  <c r="L18" i="12" l="1"/>
  <c r="L18" i="11"/>
  <c r="I18" i="2"/>
  <c r="I18" i="4"/>
  <c r="L18" i="5"/>
  <c r="J32" i="13"/>
  <c r="L32" i="13" s="1"/>
  <c r="L34" i="13" s="1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5" i="13"/>
  <c r="K18" i="13"/>
  <c r="J16" i="13"/>
  <c r="L16" i="13" s="1"/>
  <c r="J14" i="13"/>
  <c r="L14" i="13" s="1"/>
  <c r="L18" i="13" l="1"/>
  <c r="J32" i="7" l="1"/>
  <c r="L32" i="7" s="1"/>
  <c r="L34" i="7" l="1"/>
  <c r="K18" i="7" l="1"/>
  <c r="J16" i="7" l="1"/>
  <c r="L16" i="7" s="1"/>
  <c r="J14" i="7"/>
  <c r="L14" i="7" s="1"/>
  <c r="L18" i="7" l="1"/>
  <c r="C49" i="3" l="1"/>
  <c r="C50" i="3" s="1"/>
  <c r="B49" i="3"/>
  <c r="C42" i="3"/>
  <c r="B42" i="3"/>
  <c r="C35" i="3"/>
  <c r="C36" i="3" s="1"/>
  <c r="B35" i="3"/>
  <c r="C21" i="3"/>
  <c r="C22" i="3" s="1"/>
  <c r="B21" i="3"/>
  <c r="B22" i="3" s="1"/>
  <c r="C14" i="3"/>
  <c r="C15" i="3" s="1"/>
  <c r="C28" i="3"/>
  <c r="C30" i="3" s="1"/>
  <c r="C4" i="3" s="1"/>
  <c r="B28" i="3"/>
  <c r="B30" i="3" s="1"/>
  <c r="B4" i="3" s="1"/>
  <c r="F29" i="3"/>
  <c r="C51" i="3" l="1"/>
  <c r="F33" i="3"/>
  <c r="C23" i="3"/>
  <c r="C24" i="3" s="1"/>
  <c r="B43" i="3"/>
  <c r="B44" i="3" s="1"/>
  <c r="C37" i="3"/>
  <c r="C43" i="3"/>
  <c r="C44" i="3" s="1"/>
  <c r="B36" i="3"/>
  <c r="B37" i="3" s="1"/>
  <c r="B50" i="3"/>
  <c r="B51" i="3" s="1"/>
  <c r="B16" i="3"/>
  <c r="C16" i="3"/>
  <c r="B23" i="3"/>
  <c r="B24" i="3" s="1"/>
  <c r="B8" i="3" l="1"/>
  <c r="F34" i="3"/>
  <c r="B9" i="3"/>
  <c r="B3" i="2" s="1"/>
  <c r="D3" i="2" s="1"/>
  <c r="F22" i="3"/>
  <c r="C7" i="3"/>
  <c r="F4" i="5" s="1"/>
  <c r="F20" i="5" s="1"/>
  <c r="G20" i="5" s="1"/>
  <c r="C52" i="3"/>
  <c r="C6" i="3"/>
  <c r="F4" i="11" s="1"/>
  <c r="G4" i="11" s="1"/>
  <c r="C45" i="3"/>
  <c r="C5" i="3"/>
  <c r="F4" i="12" s="1"/>
  <c r="F32" i="12" s="1"/>
  <c r="G32" i="12" s="1"/>
  <c r="C38" i="3"/>
  <c r="B7" i="3"/>
  <c r="B4" i="5" s="1"/>
  <c r="B14" i="5" s="1"/>
  <c r="D14" i="5" s="1"/>
  <c r="B52" i="3"/>
  <c r="B6" i="3"/>
  <c r="B4" i="11" s="1"/>
  <c r="B38" i="11" s="1"/>
  <c r="D38" i="11" s="1"/>
  <c r="B45" i="3"/>
  <c r="B5" i="3"/>
  <c r="B4" i="12" s="1"/>
  <c r="B39" i="12" s="1"/>
  <c r="D39" i="12" s="1"/>
  <c r="B38" i="3"/>
  <c r="C2" i="3"/>
  <c r="F4" i="7" s="1"/>
  <c r="C17" i="3"/>
  <c r="B2" i="3"/>
  <c r="B4" i="7" s="1"/>
  <c r="B21" i="7" s="1"/>
  <c r="D21" i="7" s="1"/>
  <c r="B17" i="3"/>
  <c r="B24" i="4"/>
  <c r="D24" i="4" s="1"/>
  <c r="B39" i="4"/>
  <c r="D39" i="4" s="1"/>
  <c r="F20" i="12"/>
  <c r="G20" i="12" s="1"/>
  <c r="F16" i="12"/>
  <c r="G16" i="12" s="1"/>
  <c r="F28" i="12"/>
  <c r="G28" i="12" s="1"/>
  <c r="F12" i="12"/>
  <c r="G12" i="12" s="1"/>
  <c r="F24" i="12"/>
  <c r="G24" i="12" s="1"/>
  <c r="F8" i="12"/>
  <c r="G8" i="12" s="1"/>
  <c r="F36" i="12"/>
  <c r="G36" i="12" s="1"/>
  <c r="B34" i="4"/>
  <c r="D34" i="4" s="1"/>
  <c r="B22" i="4"/>
  <c r="D22" i="4" s="1"/>
  <c r="B3" i="4"/>
  <c r="D3" i="4" s="1"/>
  <c r="B33" i="4"/>
  <c r="D33" i="4" s="1"/>
  <c r="B26" i="4"/>
  <c r="D26" i="4" s="1"/>
  <c r="B37" i="4"/>
  <c r="D37" i="4" s="1"/>
  <c r="B25" i="4"/>
  <c r="D25" i="4" s="1"/>
  <c r="B36" i="4"/>
  <c r="D36" i="4" s="1"/>
  <c r="B18" i="4"/>
  <c r="D18" i="4" s="1"/>
  <c r="B29" i="4"/>
  <c r="D29" i="4" s="1"/>
  <c r="B23" i="4"/>
  <c r="D23" i="4" s="1"/>
  <c r="B17" i="4"/>
  <c r="D17" i="4" s="1"/>
  <c r="B28" i="4"/>
  <c r="D28" i="4" s="1"/>
  <c r="B38" i="4"/>
  <c r="D38" i="4" s="1"/>
  <c r="B27" i="4"/>
  <c r="D27" i="4" s="1"/>
  <c r="B21" i="4"/>
  <c r="D21" i="4" s="1"/>
  <c r="B32" i="4"/>
  <c r="D32" i="4" s="1"/>
  <c r="B31" i="4"/>
  <c r="D31" i="4" s="1"/>
  <c r="B20" i="4"/>
  <c r="D20" i="4" s="1"/>
  <c r="B30" i="4"/>
  <c r="D30" i="4" s="1"/>
  <c r="B19" i="4"/>
  <c r="D19" i="4" s="1"/>
  <c r="F4" i="13"/>
  <c r="G4" i="13" s="1"/>
  <c r="C3" i="3"/>
  <c r="B4" i="13"/>
  <c r="B3" i="3"/>
  <c r="F40" i="12"/>
  <c r="G40" i="12" s="1"/>
  <c r="F39" i="12"/>
  <c r="G39" i="12" s="1"/>
  <c r="F35" i="12"/>
  <c r="G35" i="12" s="1"/>
  <c r="F31" i="12"/>
  <c r="G31" i="12" s="1"/>
  <c r="F27" i="12"/>
  <c r="G27" i="12" s="1"/>
  <c r="F23" i="12"/>
  <c r="G23" i="12" s="1"/>
  <c r="F19" i="12"/>
  <c r="G19" i="12" s="1"/>
  <c r="F15" i="12"/>
  <c r="G15" i="12" s="1"/>
  <c r="F11" i="12"/>
  <c r="G11" i="12" s="1"/>
  <c r="F7" i="12"/>
  <c r="G7" i="12" s="1"/>
  <c r="F37" i="12"/>
  <c r="G37" i="12" s="1"/>
  <c r="F33" i="12"/>
  <c r="G33" i="12" s="1"/>
  <c r="F29" i="12"/>
  <c r="G29" i="12" s="1"/>
  <c r="F25" i="12"/>
  <c r="G25" i="12" s="1"/>
  <c r="F21" i="12"/>
  <c r="G21" i="12" s="1"/>
  <c r="F17" i="12"/>
  <c r="G17" i="12" s="1"/>
  <c r="F13" i="12"/>
  <c r="G13" i="12" s="1"/>
  <c r="F9" i="12"/>
  <c r="G9" i="12" s="1"/>
  <c r="F5" i="12"/>
  <c r="G5" i="12" s="1"/>
  <c r="F30" i="12"/>
  <c r="G30" i="12" s="1"/>
  <c r="F14" i="12"/>
  <c r="G14" i="12" s="1"/>
  <c r="F18" i="12"/>
  <c r="G18" i="12" s="1"/>
  <c r="F26" i="12"/>
  <c r="G26" i="12" s="1"/>
  <c r="F10" i="12"/>
  <c r="G10" i="12" s="1"/>
  <c r="F38" i="12"/>
  <c r="G38" i="12" s="1"/>
  <c r="F22" i="12"/>
  <c r="G22" i="12" s="1"/>
  <c r="F6" i="12"/>
  <c r="G6" i="12" s="1"/>
  <c r="F34" i="12"/>
  <c r="G34" i="12" s="1"/>
  <c r="B29" i="5" l="1"/>
  <c r="D29" i="5" s="1"/>
  <c r="B5" i="5"/>
  <c r="D5" i="5" s="1"/>
  <c r="B6" i="5"/>
  <c r="D6" i="5" s="1"/>
  <c r="B33" i="5"/>
  <c r="D33" i="5" s="1"/>
  <c r="B20" i="5"/>
  <c r="D20" i="5" s="1"/>
  <c r="B8" i="5"/>
  <c r="D8" i="5" s="1"/>
  <c r="B18" i="5"/>
  <c r="D18" i="5" s="1"/>
  <c r="B12" i="5"/>
  <c r="D12" i="5" s="1"/>
  <c r="B17" i="5"/>
  <c r="D17" i="5" s="1"/>
  <c r="B36" i="5"/>
  <c r="D36" i="5" s="1"/>
  <c r="B24" i="5"/>
  <c r="D24" i="5" s="1"/>
  <c r="B22" i="5"/>
  <c r="D22" i="5" s="1"/>
  <c r="B13" i="5"/>
  <c r="D13" i="5" s="1"/>
  <c r="B25" i="5"/>
  <c r="D25" i="5" s="1"/>
  <c r="B30" i="5"/>
  <c r="D30" i="5" s="1"/>
  <c r="B40" i="5"/>
  <c r="D40" i="5" s="1"/>
  <c r="B7" i="5"/>
  <c r="D7" i="5" s="1"/>
  <c r="B37" i="5"/>
  <c r="D37" i="5" s="1"/>
  <c r="B23" i="5"/>
  <c r="D23" i="5" s="1"/>
  <c r="B21" i="5"/>
  <c r="D21" i="5" s="1"/>
  <c r="B19" i="5"/>
  <c r="D19" i="5" s="1"/>
  <c r="B9" i="5"/>
  <c r="D9" i="5" s="1"/>
  <c r="B34" i="5"/>
  <c r="D34" i="5" s="1"/>
  <c r="B26" i="5"/>
  <c r="D26" i="5" s="1"/>
  <c r="B39" i="5"/>
  <c r="D39" i="5" s="1"/>
  <c r="B16" i="5"/>
  <c r="D16" i="5" s="1"/>
  <c r="B11" i="5"/>
  <c r="D11" i="5" s="1"/>
  <c r="B15" i="5"/>
  <c r="D15" i="5" s="1"/>
  <c r="B10" i="5"/>
  <c r="D10" i="5" s="1"/>
  <c r="B35" i="5"/>
  <c r="D35" i="5" s="1"/>
  <c r="B28" i="5"/>
  <c r="D28" i="5" s="1"/>
  <c r="B38" i="5"/>
  <c r="D38" i="5" s="1"/>
  <c r="B32" i="5"/>
  <c r="D32" i="5" s="1"/>
  <c r="B27" i="5"/>
  <c r="D27" i="5" s="1"/>
  <c r="B31" i="5"/>
  <c r="D31" i="5" s="1"/>
  <c r="B19" i="11"/>
  <c r="D19" i="11" s="1"/>
  <c r="B21" i="11"/>
  <c r="D21" i="11" s="1"/>
  <c r="B7" i="11"/>
  <c r="D7" i="11" s="1"/>
  <c r="B10" i="11"/>
  <c r="D10" i="11" s="1"/>
  <c r="B6" i="11"/>
  <c r="D6" i="11" s="1"/>
  <c r="B23" i="11"/>
  <c r="D23" i="11" s="1"/>
  <c r="B5" i="11"/>
  <c r="D5" i="11" s="1"/>
  <c r="B9" i="11"/>
  <c r="D9" i="11" s="1"/>
  <c r="B14" i="11"/>
  <c r="D14" i="11" s="1"/>
  <c r="B26" i="11"/>
  <c r="D26" i="11" s="1"/>
  <c r="B22" i="11"/>
  <c r="D22" i="11" s="1"/>
  <c r="B15" i="11"/>
  <c r="D15" i="11" s="1"/>
  <c r="B17" i="11"/>
  <c r="D17" i="11" s="1"/>
  <c r="B27" i="11"/>
  <c r="D27" i="11" s="1"/>
  <c r="B18" i="11"/>
  <c r="D18" i="11" s="1"/>
  <c r="B11" i="11"/>
  <c r="D11" i="11" s="1"/>
  <c r="B13" i="11"/>
  <c r="D13" i="11" s="1"/>
  <c r="B12" i="11"/>
  <c r="D12" i="11" s="1"/>
  <c r="B29" i="11"/>
  <c r="D29" i="11" s="1"/>
  <c r="B16" i="11"/>
  <c r="D16" i="11" s="1"/>
  <c r="B25" i="11"/>
  <c r="D25" i="11" s="1"/>
  <c r="B30" i="11"/>
  <c r="D30" i="11" s="1"/>
  <c r="B35" i="11"/>
  <c r="D35" i="11" s="1"/>
  <c r="B8" i="11"/>
  <c r="D8" i="11" s="1"/>
  <c r="B25" i="2"/>
  <c r="D25" i="2" s="1"/>
  <c r="B18" i="2"/>
  <c r="D18" i="2" s="1"/>
  <c r="B4" i="2"/>
  <c r="D4" i="2" s="1"/>
  <c r="B31" i="2"/>
  <c r="D31" i="2" s="1"/>
  <c r="B8" i="2"/>
  <c r="D8" i="2" s="1"/>
  <c r="B34" i="2"/>
  <c r="D34" i="2" s="1"/>
  <c r="B6" i="2"/>
  <c r="D6" i="2" s="1"/>
  <c r="B15" i="2"/>
  <c r="D15" i="2" s="1"/>
  <c r="B28" i="2"/>
  <c r="D28" i="2" s="1"/>
  <c r="B16" i="2"/>
  <c r="D16" i="2" s="1"/>
  <c r="B13" i="2"/>
  <c r="D13" i="2" s="1"/>
  <c r="B22" i="2"/>
  <c r="D22" i="2" s="1"/>
  <c r="B10" i="2"/>
  <c r="D10" i="2" s="1"/>
  <c r="B14" i="2"/>
  <c r="D14" i="2" s="1"/>
  <c r="B27" i="2"/>
  <c r="D27" i="2" s="1"/>
  <c r="B29" i="2"/>
  <c r="D29" i="2" s="1"/>
  <c r="B38" i="2"/>
  <c r="D38" i="2" s="1"/>
  <c r="B26" i="2"/>
  <c r="D26" i="2" s="1"/>
  <c r="B9" i="2"/>
  <c r="D9" i="2" s="1"/>
  <c r="B19" i="2"/>
  <c r="D19" i="2" s="1"/>
  <c r="B35" i="2"/>
  <c r="D35" i="2" s="1"/>
  <c r="B17" i="2"/>
  <c r="D17" i="2" s="1"/>
  <c r="B5" i="2"/>
  <c r="D5" i="2" s="1"/>
  <c r="B12" i="2"/>
  <c r="D12" i="2" s="1"/>
  <c r="B39" i="2"/>
  <c r="D39" i="2" s="1"/>
  <c r="B21" i="2"/>
  <c r="D21" i="2" s="1"/>
  <c r="B23" i="2"/>
  <c r="D23" i="2" s="1"/>
  <c r="B36" i="2"/>
  <c r="D36" i="2" s="1"/>
  <c r="B32" i="2"/>
  <c r="D32" i="2" s="1"/>
  <c r="B37" i="2"/>
  <c r="D37" i="2" s="1"/>
  <c r="B30" i="2"/>
  <c r="D30" i="2" s="1"/>
  <c r="B33" i="2"/>
  <c r="D33" i="2" s="1"/>
  <c r="B7" i="2"/>
  <c r="D7" i="2" s="1"/>
  <c r="B20" i="2"/>
  <c r="D20" i="2" s="1"/>
  <c r="B11" i="2"/>
  <c r="D11" i="2" s="1"/>
  <c r="B24" i="2"/>
  <c r="D24" i="2" s="1"/>
  <c r="F39" i="5"/>
  <c r="G39" i="5" s="1"/>
  <c r="F28" i="5"/>
  <c r="G28" i="5" s="1"/>
  <c r="F35" i="5"/>
  <c r="G35" i="5" s="1"/>
  <c r="F31" i="5"/>
  <c r="G31" i="5" s="1"/>
  <c r="F22" i="5"/>
  <c r="G22" i="5" s="1"/>
  <c r="F37" i="5"/>
  <c r="G37" i="5" s="1"/>
  <c r="F10" i="5"/>
  <c r="G10" i="5" s="1"/>
  <c r="G4" i="5"/>
  <c r="B35" i="4"/>
  <c r="D35" i="4" s="1"/>
  <c r="B10" i="4"/>
  <c r="D10" i="4" s="1"/>
  <c r="B6" i="4"/>
  <c r="D6" i="4" s="1"/>
  <c r="B7" i="4"/>
  <c r="D7" i="4" s="1"/>
  <c r="B11" i="4"/>
  <c r="D11" i="4" s="1"/>
  <c r="B12" i="4"/>
  <c r="D12" i="4" s="1"/>
  <c r="B13" i="4"/>
  <c r="D13" i="4" s="1"/>
  <c r="B14" i="4"/>
  <c r="D14" i="4" s="1"/>
  <c r="B15" i="4"/>
  <c r="D15" i="4" s="1"/>
  <c r="B16" i="4"/>
  <c r="D16" i="4" s="1"/>
  <c r="B5" i="4"/>
  <c r="D5" i="4" s="1"/>
  <c r="B8" i="4"/>
  <c r="D8" i="4" s="1"/>
  <c r="B4" i="4"/>
  <c r="D4" i="4" s="1"/>
  <c r="B9" i="4"/>
  <c r="D9" i="4" s="1"/>
  <c r="F32" i="5"/>
  <c r="G32" i="5" s="1"/>
  <c r="F9" i="5"/>
  <c r="G9" i="5" s="1"/>
  <c r="F21" i="5"/>
  <c r="G21" i="5" s="1"/>
  <c r="F24" i="5"/>
  <c r="G24" i="5" s="1"/>
  <c r="F40" i="5"/>
  <c r="G40" i="5" s="1"/>
  <c r="F19" i="5"/>
  <c r="G19" i="5" s="1"/>
  <c r="B31" i="11"/>
  <c r="D31" i="11" s="1"/>
  <c r="B34" i="11"/>
  <c r="D34" i="11" s="1"/>
  <c r="B28" i="11"/>
  <c r="D28" i="11" s="1"/>
  <c r="B40" i="11"/>
  <c r="D40" i="11" s="1"/>
  <c r="B20" i="11"/>
  <c r="D20" i="11" s="1"/>
  <c r="B33" i="11"/>
  <c r="D33" i="11" s="1"/>
  <c r="F31" i="11"/>
  <c r="G31" i="11" s="1"/>
  <c r="F40" i="11"/>
  <c r="G40" i="11" s="1"/>
  <c r="F21" i="11"/>
  <c r="G21" i="11" s="1"/>
  <c r="F8" i="11"/>
  <c r="G8" i="11" s="1"/>
  <c r="F18" i="11"/>
  <c r="G18" i="11" s="1"/>
  <c r="F7" i="11"/>
  <c r="G7" i="11" s="1"/>
  <c r="F13" i="11"/>
  <c r="G13" i="11" s="1"/>
  <c r="F28" i="11"/>
  <c r="G28" i="11" s="1"/>
  <c r="F25" i="11"/>
  <c r="G25" i="11" s="1"/>
  <c r="F6" i="11"/>
  <c r="G6" i="11" s="1"/>
  <c r="F29" i="11"/>
  <c r="G29" i="11" s="1"/>
  <c r="F36" i="11"/>
  <c r="G36" i="11" s="1"/>
  <c r="F24" i="11"/>
  <c r="G24" i="11" s="1"/>
  <c r="F35" i="11"/>
  <c r="G35" i="11" s="1"/>
  <c r="F14" i="11"/>
  <c r="G14" i="11" s="1"/>
  <c r="F30" i="11"/>
  <c r="G30" i="11" s="1"/>
  <c r="F39" i="11"/>
  <c r="G39" i="11" s="1"/>
  <c r="F20" i="11"/>
  <c r="G20" i="11" s="1"/>
  <c r="F37" i="11"/>
  <c r="G37" i="11" s="1"/>
  <c r="F15" i="11"/>
  <c r="G15" i="11" s="1"/>
  <c r="F32" i="11"/>
  <c r="G32" i="11" s="1"/>
  <c r="F34" i="11"/>
  <c r="G34" i="11" s="1"/>
  <c r="F12" i="11"/>
  <c r="G12" i="11" s="1"/>
  <c r="F19" i="11"/>
  <c r="G19" i="11" s="1"/>
  <c r="F22" i="11"/>
  <c r="G22" i="11" s="1"/>
  <c r="F23" i="11"/>
  <c r="G23" i="11" s="1"/>
  <c r="F27" i="11"/>
  <c r="G27" i="11" s="1"/>
  <c r="F17" i="11"/>
  <c r="G17" i="11" s="1"/>
  <c r="F11" i="11"/>
  <c r="G11" i="11" s="1"/>
  <c r="F33" i="11"/>
  <c r="G33" i="11" s="1"/>
  <c r="F38" i="11"/>
  <c r="G38" i="11" s="1"/>
  <c r="F9" i="11"/>
  <c r="G9" i="11" s="1"/>
  <c r="F26" i="11"/>
  <c r="G26" i="11" s="1"/>
  <c r="F5" i="11"/>
  <c r="G5" i="11" s="1"/>
  <c r="F16" i="11"/>
  <c r="G16" i="11" s="1"/>
  <c r="F10" i="11"/>
  <c r="G10" i="11" s="1"/>
  <c r="B39" i="11"/>
  <c r="D39" i="11" s="1"/>
  <c r="B32" i="11"/>
  <c r="D32" i="11" s="1"/>
  <c r="B24" i="11"/>
  <c r="D24" i="11" s="1"/>
  <c r="B37" i="11"/>
  <c r="D37" i="11" s="1"/>
  <c r="B36" i="11"/>
  <c r="D36" i="11" s="1"/>
  <c r="B24" i="12"/>
  <c r="D24" i="12" s="1"/>
  <c r="B26" i="12"/>
  <c r="D26" i="12" s="1"/>
  <c r="B29" i="12"/>
  <c r="D29" i="12" s="1"/>
  <c r="B15" i="12"/>
  <c r="D15" i="12" s="1"/>
  <c r="B13" i="12"/>
  <c r="D13" i="12" s="1"/>
  <c r="B38" i="12"/>
  <c r="D38" i="12" s="1"/>
  <c r="B31" i="12"/>
  <c r="D31" i="12" s="1"/>
  <c r="B27" i="12"/>
  <c r="D27" i="12" s="1"/>
  <c r="B28" i="12"/>
  <c r="D28" i="12" s="1"/>
  <c r="B18" i="12"/>
  <c r="D18" i="12" s="1"/>
  <c r="B5" i="12"/>
  <c r="D5" i="12" s="1"/>
  <c r="B30" i="12"/>
  <c r="D30" i="12" s="1"/>
  <c r="B20" i="12"/>
  <c r="D20" i="12" s="1"/>
  <c r="B22" i="12"/>
  <c r="D22" i="12" s="1"/>
  <c r="B11" i="12"/>
  <c r="D11" i="12" s="1"/>
  <c r="B25" i="12"/>
  <c r="D25" i="12" s="1"/>
  <c r="B17" i="12"/>
  <c r="D17" i="12" s="1"/>
  <c r="B37" i="12"/>
  <c r="D37" i="12" s="1"/>
  <c r="B35" i="12"/>
  <c r="D35" i="12" s="1"/>
  <c r="B12" i="12"/>
  <c r="D12" i="12" s="1"/>
  <c r="B32" i="12"/>
  <c r="D32" i="12" s="1"/>
  <c r="B40" i="12"/>
  <c r="D40" i="12" s="1"/>
  <c r="B14" i="12"/>
  <c r="D14" i="12" s="1"/>
  <c r="B9" i="12"/>
  <c r="D9" i="12" s="1"/>
  <c r="B7" i="12"/>
  <c r="D7" i="12" s="1"/>
  <c r="B23" i="12"/>
  <c r="D23" i="12" s="1"/>
  <c r="B19" i="12"/>
  <c r="D19" i="12" s="1"/>
  <c r="B6" i="12"/>
  <c r="D6" i="12" s="1"/>
  <c r="B8" i="12"/>
  <c r="D8" i="12" s="1"/>
  <c r="B21" i="12"/>
  <c r="D21" i="12" s="1"/>
  <c r="B16" i="12"/>
  <c r="D16" i="12" s="1"/>
  <c r="B33" i="12"/>
  <c r="D33" i="12" s="1"/>
  <c r="B34" i="12"/>
  <c r="D34" i="12" s="1"/>
  <c r="B10" i="12"/>
  <c r="D10" i="12" s="1"/>
  <c r="B36" i="12"/>
  <c r="D36" i="12" s="1"/>
  <c r="G4" i="12"/>
  <c r="F14" i="7"/>
  <c r="G14" i="7" s="1"/>
  <c r="F16" i="7"/>
  <c r="G16" i="7" s="1"/>
  <c r="F34" i="5"/>
  <c r="G34" i="5" s="1"/>
  <c r="F13" i="5"/>
  <c r="G13" i="5" s="1"/>
  <c r="F17" i="5"/>
  <c r="G17" i="5" s="1"/>
  <c r="F15" i="5"/>
  <c r="G15" i="5" s="1"/>
  <c r="F18" i="5"/>
  <c r="G18" i="5" s="1"/>
  <c r="F29" i="5"/>
  <c r="G29" i="5" s="1"/>
  <c r="F16" i="5"/>
  <c r="G16" i="5" s="1"/>
  <c r="F30" i="5"/>
  <c r="G30" i="5" s="1"/>
  <c r="F14" i="5"/>
  <c r="G14" i="5" s="1"/>
  <c r="F36" i="5"/>
  <c r="G36" i="5" s="1"/>
  <c r="F7" i="5"/>
  <c r="G7" i="5" s="1"/>
  <c r="F27" i="5"/>
  <c r="G27" i="5" s="1"/>
  <c r="F38" i="5"/>
  <c r="G38" i="5" s="1"/>
  <c r="F25" i="5"/>
  <c r="G25" i="5" s="1"/>
  <c r="F6" i="5"/>
  <c r="G6" i="5" s="1"/>
  <c r="F8" i="5"/>
  <c r="G8" i="5" s="1"/>
  <c r="F26" i="5"/>
  <c r="G26" i="5" s="1"/>
  <c r="F23" i="5"/>
  <c r="G23" i="5" s="1"/>
  <c r="F11" i="5"/>
  <c r="G11" i="5" s="1"/>
  <c r="F33" i="5"/>
  <c r="G33" i="5" s="1"/>
  <c r="F5" i="5"/>
  <c r="G5" i="5" s="1"/>
  <c r="F12" i="5"/>
  <c r="G12" i="5" s="1"/>
  <c r="B18" i="7"/>
  <c r="D18" i="7" s="1"/>
  <c r="B23" i="7"/>
  <c r="D23" i="7" s="1"/>
  <c r="B7" i="7"/>
  <c r="D7" i="7" s="1"/>
  <c r="B10" i="7"/>
  <c r="D10" i="7" s="1"/>
  <c r="B36" i="7"/>
  <c r="D36" i="7" s="1"/>
  <c r="B38" i="7"/>
  <c r="D38" i="7" s="1"/>
  <c r="B6" i="7"/>
  <c r="D6" i="7" s="1"/>
  <c r="B19" i="7"/>
  <c r="D19" i="7" s="1"/>
  <c r="B13" i="7"/>
  <c r="D13" i="7" s="1"/>
  <c r="B11" i="7"/>
  <c r="D11" i="7" s="1"/>
  <c r="B28" i="7"/>
  <c r="D28" i="7" s="1"/>
  <c r="B34" i="7"/>
  <c r="D34" i="7" s="1"/>
  <c r="B40" i="7"/>
  <c r="D40" i="7" s="1"/>
  <c r="B15" i="7"/>
  <c r="D15" i="7" s="1"/>
  <c r="B9" i="7"/>
  <c r="D9" i="7" s="1"/>
  <c r="B8" i="7"/>
  <c r="D8" i="7" s="1"/>
  <c r="B35" i="7"/>
  <c r="D35" i="7" s="1"/>
  <c r="B27" i="7"/>
  <c r="D27" i="7" s="1"/>
  <c r="B20" i="7"/>
  <c r="D20" i="7" s="1"/>
  <c r="B30" i="7"/>
  <c r="D30" i="7" s="1"/>
  <c r="B32" i="7"/>
  <c r="D32" i="7" s="1"/>
  <c r="B37" i="7"/>
  <c r="D37" i="7" s="1"/>
  <c r="B5" i="7"/>
  <c r="D5" i="7" s="1"/>
  <c r="B31" i="7"/>
  <c r="D31" i="7" s="1"/>
  <c r="B17" i="7"/>
  <c r="D17" i="7" s="1"/>
  <c r="B12" i="7"/>
  <c r="D12" i="7" s="1"/>
  <c r="B26" i="7"/>
  <c r="D26" i="7" s="1"/>
  <c r="B24" i="7"/>
  <c r="D24" i="7" s="1"/>
  <c r="B33" i="7"/>
  <c r="D33" i="7" s="1"/>
  <c r="B14" i="7"/>
  <c r="D14" i="7" s="1"/>
  <c r="B39" i="7"/>
  <c r="D39" i="7" s="1"/>
  <c r="B22" i="7"/>
  <c r="D22" i="7" s="1"/>
  <c r="B16" i="7"/>
  <c r="D16" i="7" s="1"/>
  <c r="B29" i="7"/>
  <c r="D29" i="7" s="1"/>
  <c r="B25" i="7"/>
  <c r="D25" i="7" s="1"/>
  <c r="F12" i="7"/>
  <c r="G12" i="7" s="1"/>
  <c r="F39" i="7"/>
  <c r="G39" i="7" s="1"/>
  <c r="F28" i="7"/>
  <c r="G28" i="7" s="1"/>
  <c r="F20" i="7"/>
  <c r="G20" i="7" s="1"/>
  <c r="F15" i="7"/>
  <c r="G15" i="7" s="1"/>
  <c r="F31" i="7"/>
  <c r="G31" i="7" s="1"/>
  <c r="F7" i="7"/>
  <c r="G7" i="7" s="1"/>
  <c r="F11" i="7"/>
  <c r="G11" i="7" s="1"/>
  <c r="F36" i="7"/>
  <c r="G36" i="7" s="1"/>
  <c r="F5" i="7"/>
  <c r="G5" i="7" s="1"/>
  <c r="F35" i="7"/>
  <c r="G35" i="7" s="1"/>
  <c r="F32" i="7"/>
  <c r="G32" i="7" s="1"/>
  <c r="F24" i="7"/>
  <c r="G24" i="7" s="1"/>
  <c r="F25" i="7"/>
  <c r="G25" i="7" s="1"/>
  <c r="F30" i="7"/>
  <c r="G30" i="7" s="1"/>
  <c r="F19" i="7"/>
  <c r="G19" i="7" s="1"/>
  <c r="F8" i="7"/>
  <c r="G8" i="7" s="1"/>
  <c r="F23" i="7"/>
  <c r="G23" i="7" s="1"/>
  <c r="F27" i="7"/>
  <c r="G27" i="7" s="1"/>
  <c r="F40" i="7"/>
  <c r="G40" i="7" s="1"/>
  <c r="G4" i="7"/>
  <c r="F29" i="7"/>
  <c r="G29" i="7" s="1"/>
  <c r="F6" i="7"/>
  <c r="G6" i="7" s="1"/>
  <c r="F26" i="7"/>
  <c r="G26" i="7" s="1"/>
  <c r="F33" i="7"/>
  <c r="G33" i="7" s="1"/>
  <c r="F22" i="7"/>
  <c r="G22" i="7" s="1"/>
  <c r="F21" i="7"/>
  <c r="G21" i="7" s="1"/>
  <c r="F10" i="7"/>
  <c r="G10" i="7" s="1"/>
  <c r="F34" i="7"/>
  <c r="G34" i="7" s="1"/>
  <c r="F37" i="7"/>
  <c r="G37" i="7" s="1"/>
  <c r="F17" i="7"/>
  <c r="G17" i="7" s="1"/>
  <c r="F18" i="7"/>
  <c r="G18" i="7" s="1"/>
  <c r="F38" i="7"/>
  <c r="G38" i="7" s="1"/>
  <c r="F13" i="7"/>
  <c r="G13" i="7" s="1"/>
  <c r="F9" i="7"/>
  <c r="G9" i="7" s="1"/>
  <c r="B25" i="13"/>
  <c r="D25" i="13" s="1"/>
  <c r="B9" i="13"/>
  <c r="D9" i="13" s="1"/>
  <c r="B8" i="13"/>
  <c r="D8" i="13" s="1"/>
  <c r="B24" i="13"/>
  <c r="D24" i="13" s="1"/>
  <c r="B40" i="13"/>
  <c r="D40" i="13" s="1"/>
  <c r="B23" i="13"/>
  <c r="D23" i="13" s="1"/>
  <c r="B39" i="13"/>
  <c r="D39" i="13" s="1"/>
  <c r="B18" i="13"/>
  <c r="D18" i="13" s="1"/>
  <c r="B34" i="13"/>
  <c r="D34" i="13" s="1"/>
  <c r="B29" i="13"/>
  <c r="D29" i="13" s="1"/>
  <c r="B6" i="13"/>
  <c r="D6" i="13" s="1"/>
  <c r="B36" i="13"/>
  <c r="D36" i="13" s="1"/>
  <c r="B14" i="13"/>
  <c r="D14" i="13" s="1"/>
  <c r="B37" i="13"/>
  <c r="D37" i="13" s="1"/>
  <c r="B21" i="13"/>
  <c r="D21" i="13" s="1"/>
  <c r="B7" i="13"/>
  <c r="D7" i="13" s="1"/>
  <c r="B12" i="13"/>
  <c r="D12" i="13" s="1"/>
  <c r="B28" i="13"/>
  <c r="D28" i="13" s="1"/>
  <c r="B11" i="13"/>
  <c r="D11" i="13" s="1"/>
  <c r="B27" i="13"/>
  <c r="D27" i="13" s="1"/>
  <c r="B22" i="13"/>
  <c r="D22" i="13" s="1"/>
  <c r="B38" i="13"/>
  <c r="D38" i="13" s="1"/>
  <c r="B13" i="13"/>
  <c r="D13" i="13" s="1"/>
  <c r="B20" i="13"/>
  <c r="D20" i="13" s="1"/>
  <c r="B19" i="13"/>
  <c r="D19" i="13" s="1"/>
  <c r="B30" i="13"/>
  <c r="D30" i="13" s="1"/>
  <c r="B33" i="13"/>
  <c r="D33" i="13" s="1"/>
  <c r="B17" i="13"/>
  <c r="D17" i="13" s="1"/>
  <c r="B5" i="13"/>
  <c r="D5" i="13" s="1"/>
  <c r="B16" i="13"/>
  <c r="D16" i="13" s="1"/>
  <c r="B32" i="13"/>
  <c r="D32" i="13" s="1"/>
  <c r="B15" i="13"/>
  <c r="D15" i="13" s="1"/>
  <c r="B31" i="13"/>
  <c r="D31" i="13" s="1"/>
  <c r="B10" i="13"/>
  <c r="D10" i="13" s="1"/>
  <c r="B26" i="13"/>
  <c r="D26" i="13" s="1"/>
  <c r="B35" i="13"/>
  <c r="D35" i="13" s="1"/>
  <c r="F39" i="13"/>
  <c r="G39" i="13" s="1"/>
  <c r="F23" i="13"/>
  <c r="G23" i="13" s="1"/>
  <c r="F7" i="13"/>
  <c r="G7" i="13" s="1"/>
  <c r="F35" i="13"/>
  <c r="G35" i="13" s="1"/>
  <c r="F19" i="13"/>
  <c r="G19" i="13" s="1"/>
  <c r="F5" i="13"/>
  <c r="G5" i="13" s="1"/>
  <c r="F31" i="13"/>
  <c r="G31" i="13" s="1"/>
  <c r="F15" i="13"/>
  <c r="G15" i="13" s="1"/>
  <c r="F6" i="13"/>
  <c r="G6" i="13" s="1"/>
  <c r="F27" i="13"/>
  <c r="G27" i="13" s="1"/>
  <c r="F11" i="13"/>
  <c r="G11" i="13" s="1"/>
  <c r="F26" i="13"/>
  <c r="G26" i="13" s="1"/>
  <c r="F10" i="13"/>
  <c r="G10" i="13" s="1"/>
  <c r="F13" i="13"/>
  <c r="G13" i="13" s="1"/>
  <c r="F21" i="13"/>
  <c r="G21" i="13" s="1"/>
  <c r="F29" i="13"/>
  <c r="G29" i="13" s="1"/>
  <c r="F37" i="13"/>
  <c r="G37" i="13" s="1"/>
  <c r="F20" i="13"/>
  <c r="G20" i="13" s="1"/>
  <c r="F38" i="13"/>
  <c r="G38" i="13" s="1"/>
  <c r="F22" i="13"/>
  <c r="G22" i="13" s="1"/>
  <c r="F8" i="13"/>
  <c r="G8" i="13" s="1"/>
  <c r="F16" i="13"/>
  <c r="G16" i="13" s="1"/>
  <c r="F24" i="13"/>
  <c r="G24" i="13" s="1"/>
  <c r="F32" i="13"/>
  <c r="G32" i="13" s="1"/>
  <c r="F40" i="13"/>
  <c r="G40" i="13" s="1"/>
  <c r="F12" i="13"/>
  <c r="G12" i="13" s="1"/>
  <c r="F36" i="13"/>
  <c r="G36" i="13" s="1"/>
  <c r="F34" i="13"/>
  <c r="G34" i="13" s="1"/>
  <c r="F18" i="13"/>
  <c r="G18" i="13" s="1"/>
  <c r="F9" i="13"/>
  <c r="G9" i="13" s="1"/>
  <c r="F17" i="13"/>
  <c r="G17" i="13" s="1"/>
  <c r="F25" i="13"/>
  <c r="G25" i="13" s="1"/>
  <c r="F33" i="13"/>
  <c r="G33" i="13" s="1"/>
  <c r="F30" i="13"/>
  <c r="G30" i="13" s="1"/>
  <c r="F28" i="13"/>
  <c r="G28" i="13" s="1"/>
  <c r="F14" i="13"/>
  <c r="G14" i="13" s="1"/>
  <c r="I20" i="14"/>
  <c r="I24" i="14" s="1"/>
</calcChain>
</file>

<file path=xl/sharedStrings.xml><?xml version="1.0" encoding="utf-8"?>
<sst xmlns="http://schemas.openxmlformats.org/spreadsheetml/2006/main" count="397" uniqueCount="116">
  <si>
    <t>SALARIOS BRUTOS</t>
  </si>
  <si>
    <t>P.P. EXTRAS</t>
  </si>
  <si>
    <t>INDEMNIZACION</t>
  </si>
  <si>
    <t>C. DESTINO (18)</t>
  </si>
  <si>
    <t>C. ESPECIFICO (28)</t>
  </si>
  <si>
    <t>C. DESTINO (14)</t>
  </si>
  <si>
    <t>C. ESPECIFICO (24)</t>
  </si>
  <si>
    <t>INDENIZACION</t>
  </si>
  <si>
    <t>€/MES (MÍNIMOS)</t>
  </si>
  <si>
    <t>€/MES (MAXIMOS)</t>
  </si>
  <si>
    <t>€/MES (MÁXIMOS)</t>
  </si>
  <si>
    <t>€/MES (MINIMOS)</t>
  </si>
  <si>
    <t>SUELDO (B)</t>
  </si>
  <si>
    <t>BASE MINIMA/HORA Tº PARCIAL GRUPO 1</t>
  </si>
  <si>
    <t>BASE MINIMA G1</t>
  </si>
  <si>
    <t>BASE MINIMA/HORA Tº PARCIAL GRUPO 2</t>
  </si>
  <si>
    <t>BASE MINIMA/HORA Tº PARCIAL GRUPO 4-11</t>
  </si>
  <si>
    <t>12 DIAS</t>
  </si>
  <si>
    <t>Retribución/año (*1)</t>
  </si>
  <si>
    <t>mínimas</t>
  </si>
  <si>
    <t>máximas</t>
  </si>
  <si>
    <t>PERSONAL INVESTIGADOR</t>
  </si>
  <si>
    <t>Investigador en Formación</t>
  </si>
  <si>
    <t>PERSONAL COLABORADOR EN TAREAS DE INVESTIGACIÓN</t>
  </si>
  <si>
    <t>Titulados superiores I</t>
  </si>
  <si>
    <t>Titulados superiores II</t>
  </si>
  <si>
    <t>Titulados de grado medio</t>
  </si>
  <si>
    <t>Especialistas Técnicos (*2)</t>
  </si>
  <si>
    <t>Auxiliares (*2)</t>
  </si>
  <si>
    <t>TOTAL</t>
  </si>
  <si>
    <t>INVESTIGADOR EN FORMACIÓN</t>
  </si>
  <si>
    <t>INVESTIGADOR JUNIOR</t>
  </si>
  <si>
    <t>INVESTIGADOR SENIOR</t>
  </si>
  <si>
    <t>BASE MINIMA/HORA Tº PARCIAL GRUPO 5</t>
  </si>
  <si>
    <t>AUXILIAR</t>
  </si>
  <si>
    <t>TOTAL…………………</t>
  </si>
  <si>
    <t>TOTAL…………….</t>
  </si>
  <si>
    <t>ESPECIALISTA TECNICO</t>
  </si>
  <si>
    <t>TITULADO SUPERIOR I</t>
  </si>
  <si>
    <t>TITULADO SUPERIOR II</t>
  </si>
  <si>
    <t>TITULADO DE GRADO MEDIO</t>
  </si>
  <si>
    <t>Investigador Senior</t>
  </si>
  <si>
    <t>Investigador Junior</t>
  </si>
  <si>
    <t>DEDICACION HORAS  SEMANALES</t>
  </si>
  <si>
    <t xml:space="preserve">RETRIBUCION MENSUAL BRUTA </t>
  </si>
  <si>
    <t>RETRIBUCIONES MINIMAS</t>
  </si>
  <si>
    <t>RETRIBUCIONES MAXIMAS</t>
  </si>
  <si>
    <t>Grupo de Cotización</t>
  </si>
  <si>
    <t>CONTINGENCIAS COMUNES</t>
  </si>
  <si>
    <t>BASE MINIMA HORA</t>
  </si>
  <si>
    <t>TOPE MÍNIMO</t>
  </si>
  <si>
    <t>TOPE MÁXIMO</t>
  </si>
  <si>
    <t>CONTINGENCIAS PROFESIONALES</t>
  </si>
  <si>
    <t>Base Cotización</t>
  </si>
  <si>
    <t>Tipos cotización %</t>
  </si>
  <si>
    <t>Cuota Patronal</t>
  </si>
  <si>
    <t>Contingencias Comunes</t>
  </si>
  <si>
    <t>Contingencias Profesionales</t>
  </si>
  <si>
    <t>Bases mínimas euros/mes</t>
  </si>
  <si>
    <t>Bases máximas euros/mes</t>
  </si>
  <si>
    <t>CALCULADORA COSTE SEG.SOCIAL TIEMPO COMPLETO</t>
  </si>
  <si>
    <t>TOTAL COSTE SEGURIDAD SOCIAL</t>
  </si>
  <si>
    <r>
      <rPr>
        <sz val="9"/>
        <color rgb="FF0033CC"/>
        <rFont val="Verdana"/>
        <family val="2"/>
      </rPr>
      <t>Por favor, introduzca la</t>
    </r>
    <r>
      <rPr>
        <b/>
        <sz val="9"/>
        <color rgb="FF0033CC"/>
        <rFont val="Verdana"/>
        <family val="2"/>
      </rPr>
      <t xml:space="preserve"> DEDICACION de HORAS semanales…………………………….……………………………….</t>
    </r>
  </si>
  <si>
    <t>CALCULADORA COSTE SEG.SOCIAL TIEMPO PARCIAL</t>
  </si>
  <si>
    <t>TOTAL COSTE SEGURIDAD SOCIAL……..</t>
  </si>
  <si>
    <t>CALCULO RC</t>
  </si>
  <si>
    <r>
      <rPr>
        <b/>
        <sz val="10"/>
        <rFont val="Verdana"/>
        <family val="2"/>
      </rPr>
      <t>(*) NOTA:</t>
    </r>
    <r>
      <rPr>
        <sz val="10"/>
        <rFont val="Verdana"/>
        <family val="2"/>
      </rPr>
      <t xml:space="preserve"> Para calcular el coste total del contrato/renovación para el periodo, utilice la siguiente plantilla………………………………………………………</t>
    </r>
  </si>
  <si>
    <r>
      <rPr>
        <sz val="9"/>
        <color rgb="FF0033CC"/>
        <rFont val="Verdana"/>
        <family val="2"/>
      </rPr>
      <t>Por favor, introduzca la</t>
    </r>
    <r>
      <rPr>
        <b/>
        <sz val="9"/>
        <color rgb="FF0033CC"/>
        <rFont val="Verdana"/>
        <family val="2"/>
      </rPr>
      <t xml:space="preserve"> RETRIBUCION MENSUAL PROPUESTA ……….……………….……………………………….</t>
    </r>
  </si>
  <si>
    <t>Base mín.Cotiz.</t>
  </si>
  <si>
    <t>Tipo cotización %</t>
  </si>
  <si>
    <t>1º año, no inferior a</t>
  </si>
  <si>
    <t>2º año, no inferior a</t>
  </si>
  <si>
    <t>3º año, no inferior a</t>
  </si>
  <si>
    <t>4º año, no inferior a</t>
  </si>
  <si>
    <t>Prorrateo de la cuantía, para percibir identica cuantia anual</t>
  </si>
  <si>
    <r>
      <t>(</t>
    </r>
    <r>
      <rPr>
        <b/>
        <sz val="9"/>
        <rFont val="Verdana"/>
        <family val="2"/>
      </rPr>
      <t xml:space="preserve">*) NOTA: </t>
    </r>
    <r>
      <rPr>
        <sz val="9"/>
        <rFont val="Verdana"/>
        <family val="2"/>
      </rPr>
      <t xml:space="preserve">Cuando la dedicación es a </t>
    </r>
    <r>
      <rPr>
        <b/>
        <sz val="9"/>
        <rFont val="Verdana"/>
        <family val="2"/>
      </rPr>
      <t>TIEMPO PARCIAL</t>
    </r>
    <r>
      <rPr>
        <sz val="9"/>
        <rFont val="Verdana"/>
        <family val="2"/>
      </rPr>
      <t xml:space="preserve">, para retribuciones distintas a las establecidas en tablas, según bases de la convocatoria, usar la siguiente calculadora para determinar el coste de Seguridad Social </t>
    </r>
  </si>
  <si>
    <r>
      <t>(</t>
    </r>
    <r>
      <rPr>
        <b/>
        <sz val="9"/>
        <rFont val="Verdana"/>
        <family val="2"/>
      </rPr>
      <t xml:space="preserve">*) NOTA: </t>
    </r>
    <r>
      <rPr>
        <sz val="9"/>
        <rFont val="Verdana"/>
        <family val="2"/>
      </rPr>
      <t xml:space="preserve">Cuando la dedicación es a </t>
    </r>
    <r>
      <rPr>
        <b/>
        <sz val="9"/>
        <rFont val="Verdana"/>
        <family val="2"/>
      </rPr>
      <t>TIEMPO PARCIAL</t>
    </r>
    <r>
      <rPr>
        <sz val="9"/>
        <rFont val="Verdana"/>
        <family val="2"/>
      </rPr>
      <t xml:space="preserve">, para retribuciones comprendidas </t>
    </r>
    <r>
      <rPr>
        <b/>
        <sz val="9"/>
        <rFont val="Verdana"/>
        <family val="2"/>
      </rPr>
      <t>en el rango del</t>
    </r>
    <r>
      <rPr>
        <sz val="9"/>
        <rFont val="Verdana"/>
        <family val="2"/>
      </rPr>
      <t xml:space="preserve"> </t>
    </r>
    <r>
      <rPr>
        <b/>
        <sz val="9"/>
        <rFont val="Verdana"/>
        <family val="2"/>
      </rPr>
      <t>intervalo</t>
    </r>
    <r>
      <rPr>
        <sz val="9"/>
        <rFont val="Verdana"/>
        <family val="2"/>
      </rPr>
      <t xml:space="preserve"> </t>
    </r>
    <r>
      <rPr>
        <b/>
        <sz val="9"/>
        <rFont val="Verdana"/>
        <family val="2"/>
      </rPr>
      <t>establecido</t>
    </r>
    <r>
      <rPr>
        <sz val="9"/>
        <rFont val="Verdana"/>
        <family val="2"/>
      </rPr>
      <t xml:space="preserve">, usar la siguiente calculadora para determinar el coste de Seguridad Social </t>
    </r>
  </si>
  <si>
    <r>
      <t>(</t>
    </r>
    <r>
      <rPr>
        <b/>
        <sz val="9"/>
        <rFont val="Verdana"/>
        <family val="2"/>
      </rPr>
      <t xml:space="preserve">*) NOTA: </t>
    </r>
    <r>
      <rPr>
        <sz val="9"/>
        <rFont val="Verdana"/>
        <family val="2"/>
      </rPr>
      <t xml:space="preserve">Cuando la dedicación es a </t>
    </r>
    <r>
      <rPr>
        <b/>
        <sz val="9"/>
        <rFont val="Verdana"/>
        <family val="2"/>
      </rPr>
      <t>TIEMPO PARCIAL</t>
    </r>
    <r>
      <rPr>
        <sz val="9"/>
        <rFont val="Verdana"/>
        <family val="2"/>
      </rPr>
      <t>, para retribuciones comprendidas en el</t>
    </r>
    <r>
      <rPr>
        <b/>
        <sz val="9"/>
        <rFont val="Verdana"/>
        <family val="2"/>
      </rPr>
      <t xml:space="preserve"> rango del intervalo</t>
    </r>
    <r>
      <rPr>
        <sz val="9"/>
        <rFont val="Verdana"/>
        <family val="2"/>
      </rPr>
      <t xml:space="preserve"> </t>
    </r>
    <r>
      <rPr>
        <b/>
        <sz val="9"/>
        <rFont val="Verdana"/>
        <family val="2"/>
      </rPr>
      <t>establecido</t>
    </r>
    <r>
      <rPr>
        <sz val="9"/>
        <rFont val="Verdana"/>
        <family val="2"/>
      </rPr>
      <t xml:space="preserve">, usar la siguiente calculadora para determinar el coste de Seguridad Social </t>
    </r>
  </si>
  <si>
    <t>RETRIBUCION BRUTA MENSUAL (12 pagas)</t>
  </si>
  <si>
    <t>RETRIBUCION MÍNIMA A PERCIBIR (TIEMPO COMPLETO)</t>
  </si>
  <si>
    <t>CONTRATO PREDOCTORAL</t>
  </si>
  <si>
    <t>Grupo de Cotización 1</t>
  </si>
  <si>
    <t>Base mínima/hora</t>
  </si>
  <si>
    <t>TOTAL COSTE SEGURIDAD SOCIAL……………..</t>
  </si>
  <si>
    <t>RETRIBUCION BRUTA MENSUAL (14 pagas)</t>
  </si>
  <si>
    <t>TOTAL COSTE SEGURIDAD SOCIAL……………………</t>
  </si>
  <si>
    <r>
      <t xml:space="preserve">CALCULADORA COSTE SEG.SOCIAL CONTRATO </t>
    </r>
    <r>
      <rPr>
        <b/>
        <sz val="11"/>
        <color rgb="FFFF0000"/>
        <rFont val="Verdana"/>
        <family val="2"/>
      </rPr>
      <t>PREDOCTORAL</t>
    </r>
  </si>
  <si>
    <r>
      <t xml:space="preserve">CALCULADORA COSTE SEG.SOCIAL CONTRATO                                                               </t>
    </r>
    <r>
      <rPr>
        <b/>
        <sz val="11"/>
        <color rgb="FFFF0000"/>
        <rFont val="Verdana"/>
        <family val="2"/>
      </rPr>
      <t xml:space="preserve"> EN PRÁCTICAS/ACCESO CIENCIA</t>
    </r>
  </si>
  <si>
    <r>
      <rPr>
        <sz val="9"/>
        <color rgb="FF0033CC"/>
        <rFont val="Verdana"/>
        <family val="2"/>
      </rPr>
      <t>Por favor, introduzca la</t>
    </r>
    <r>
      <rPr>
        <b/>
        <sz val="9"/>
        <color rgb="FF0033CC"/>
        <rFont val="Verdana"/>
        <family val="2"/>
      </rPr>
      <t xml:space="preserve"> RETRIBUCION MENSUAL BRUTA PROPUESTA </t>
    </r>
    <r>
      <rPr>
        <sz val="9"/>
        <color rgb="FF0033CC"/>
        <rFont val="Verdana"/>
        <family val="2"/>
      </rPr>
      <t xml:space="preserve">para </t>
    </r>
    <r>
      <rPr>
        <b/>
        <sz val="9"/>
        <color rgb="FF0033CC"/>
        <rFont val="Verdana"/>
        <family val="2"/>
      </rPr>
      <t>37,5</t>
    </r>
    <r>
      <rPr>
        <sz val="9"/>
        <color rgb="FF0033CC"/>
        <rFont val="Verdana"/>
        <family val="2"/>
      </rPr>
      <t xml:space="preserve"> </t>
    </r>
    <r>
      <rPr>
        <b/>
        <sz val="9"/>
        <color rgb="FF0033CC"/>
        <rFont val="Verdana"/>
        <family val="2"/>
      </rPr>
      <t>h/semana ………………………………</t>
    </r>
  </si>
  <si>
    <r>
      <rPr>
        <sz val="9"/>
        <color rgb="FF0033CC"/>
        <rFont val="Verdana"/>
        <family val="2"/>
      </rPr>
      <t>Por favor, introduzca la</t>
    </r>
    <r>
      <rPr>
        <b/>
        <sz val="9"/>
        <color rgb="FF0033CC"/>
        <rFont val="Verdana"/>
        <family val="2"/>
      </rPr>
      <t xml:space="preserve"> RETRIBUCION MENSUAL BRUTA PROPUESTA </t>
    </r>
    <r>
      <rPr>
        <sz val="9"/>
        <color rgb="FF0033CC"/>
        <rFont val="Verdana"/>
        <family val="2"/>
      </rPr>
      <t xml:space="preserve">para </t>
    </r>
    <r>
      <rPr>
        <b/>
        <sz val="9"/>
        <color rgb="FF0033CC"/>
        <rFont val="Verdana"/>
        <family val="2"/>
      </rPr>
      <t>37,5 h/semana ………………………………</t>
    </r>
  </si>
  <si>
    <t>BASE MINIMA G2</t>
  </si>
  <si>
    <t>BASE MINIMA G5</t>
  </si>
  <si>
    <t>BASE MINIMA G7</t>
  </si>
  <si>
    <t>RETRIBUCION BRUTA ANUAL (*)</t>
  </si>
  <si>
    <t>OCULTAR ESTA FILA AL PUBLICAR</t>
  </si>
  <si>
    <r>
      <rPr>
        <sz val="9"/>
        <color rgb="FF0033CC"/>
        <rFont val="Verdana"/>
        <family val="2"/>
      </rPr>
      <t>Por favor, introduzca la</t>
    </r>
    <r>
      <rPr>
        <b/>
        <sz val="9"/>
        <color rgb="FF0033CC"/>
        <rFont val="Verdana"/>
        <family val="2"/>
      </rPr>
      <t xml:space="preserve"> RETRIBUCION MENSUAL BRUTA PROPUESTA 37,5 h:</t>
    </r>
  </si>
  <si>
    <t>TITULADO GRADO MEDIO</t>
  </si>
  <si>
    <t xml:space="preserve">TABLAS RETRIBUTIVAS DEL PERSONAL INVESTIGADOR EN FORMACIÓN AÑO  2023                                                                                                        </t>
  </si>
  <si>
    <t>CALCULO RC E INDEMNIZACION</t>
  </si>
  <si>
    <r>
      <rPr>
        <b/>
        <sz val="10"/>
        <rFont val="Verdana"/>
        <family val="2"/>
      </rPr>
      <t>(*) REFERENCIA:</t>
    </r>
    <r>
      <rPr>
        <sz val="10"/>
        <rFont val="Verdana"/>
        <family val="2"/>
      </rPr>
      <t xml:space="preserve"> Conforme a las tablas retributivas del personal laboral IV Convenio colectivo único de la Administración General del Estado</t>
    </r>
  </si>
  <si>
    <t>Actualizado a 01.03.23</t>
  </si>
  <si>
    <t>SUELDO (C2)</t>
  </si>
  <si>
    <t>Complemento Compensatorio CD (14)</t>
  </si>
  <si>
    <t>SUELDO (C1)</t>
  </si>
  <si>
    <t>Complemento Compensatorio CD (18)</t>
  </si>
  <si>
    <t xml:space="preserve">TABLAS RETRIBUTIVAS DEL PERSONAL INVESTIGADOR AÑO 2025                                                                                                         </t>
  </si>
  <si>
    <t>CUOTA  SEG.SOCIAL 32,07%</t>
  </si>
  <si>
    <t>CUOTA SEG.SOCIAL 32,07%</t>
  </si>
  <si>
    <t xml:space="preserve">TABLAS RETRIBUTIVAS DEL PERSONAL INVESTIGADOR AÑO 2025                                                                                                          </t>
  </si>
  <si>
    <t xml:space="preserve">TABLAS RETRIBUTIVAS DEL PERSONAL INVESTIGADOR AÑO 2025                                                                                                     </t>
  </si>
  <si>
    <t xml:space="preserve">TABLAS RETRIBUTIVAS DEL PERSONAL INVESTIGADOR AÑO 2025                                                                                                        </t>
  </si>
  <si>
    <t>TABLAS RETRIBUTIVAS DEL PERSONAL INVESTIGADOR AÑO 2025</t>
  </si>
  <si>
    <t xml:space="preserve">TABLAS RETRIBUTIVAS DEL PERSONAL INVESTIGADOR AÑO 2025                                                                                                       </t>
  </si>
  <si>
    <r>
      <t xml:space="preserve">Según el RD 87/2025, el </t>
    </r>
    <r>
      <rPr>
        <b/>
        <sz val="9"/>
        <rFont val="Verdana"/>
        <family val="2"/>
      </rPr>
      <t xml:space="preserve">Salario Mínimo Interprofesional </t>
    </r>
    <r>
      <rPr>
        <sz val="9"/>
        <rFont val="Verdana"/>
        <family val="2"/>
      </rPr>
      <t xml:space="preserve">para 2025 queda fijado en </t>
    </r>
    <r>
      <rPr>
        <b/>
        <sz val="9"/>
        <rFont val="Verdana"/>
        <family val="2"/>
      </rPr>
      <t>1.381,33€/mes</t>
    </r>
    <r>
      <rPr>
        <sz val="9"/>
        <rFont val="Verdana"/>
        <family val="2"/>
      </rPr>
      <t xml:space="preserve"> a 12 pagas (1.184€/mes a 14 pagas), con efectos desde el 1 de enero de 2025.</t>
    </r>
  </si>
  <si>
    <r>
      <t xml:space="preserve">TABLAS 2025 CON INCREMENTO </t>
    </r>
    <r>
      <rPr>
        <b/>
        <sz val="10"/>
        <color rgb="FF000000"/>
        <rFont val="Verdana"/>
        <family val="2"/>
      </rPr>
      <t xml:space="preserve">0,48986% </t>
    </r>
    <r>
      <rPr>
        <sz val="10"/>
        <color rgb="FF000000"/>
        <rFont val="Verdana"/>
        <family val="2"/>
      </rPr>
      <t>sobre actuales a 01/07/2025</t>
    </r>
  </si>
  <si>
    <t>TABLAS 2025 sin incremento (1 julio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</si>
</sst>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[$€-C0A]_-;\-* #,##0.00\ [$€-C0A]_-;_-* &quot;-&quot;??\ [$€-C0A]_-;_-@_-"/>
  </numFmts>
  <fonts count="4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i/>
      <u/>
      <sz val="10"/>
      <name val="Verdana"/>
      <family val="2"/>
    </font>
    <font>
      <sz val="10"/>
      <name val="Verdana"/>
      <family val="2"/>
    </font>
    <font>
      <b/>
      <sz val="11"/>
      <color rgb="FF000000"/>
      <name val="Verdana"/>
      <family val="2"/>
    </font>
    <font>
      <b/>
      <sz val="10"/>
      <name val="Verdana"/>
      <family val="2"/>
    </font>
    <font>
      <sz val="10"/>
      <color indexed="10"/>
      <name val="Verdana"/>
      <family val="2"/>
    </font>
    <font>
      <b/>
      <u/>
      <sz val="10"/>
      <name val="Verdana"/>
      <family val="2"/>
    </font>
    <font>
      <sz val="11"/>
      <color rgb="FF000000"/>
      <name val="Verdana"/>
      <family val="2"/>
    </font>
    <font>
      <sz val="11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8"/>
      <color rgb="FF000000"/>
      <name val="Verdana"/>
      <family val="2"/>
    </font>
    <font>
      <sz val="8"/>
      <name val="Verdana"/>
      <family val="2"/>
    </font>
    <font>
      <b/>
      <sz val="8"/>
      <color rgb="FF000000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b/>
      <i/>
      <sz val="9"/>
      <name val="Verdana"/>
      <family val="2"/>
    </font>
    <font>
      <b/>
      <sz val="9"/>
      <color rgb="FF0000CC"/>
      <name val="Verdana"/>
      <family val="2"/>
    </font>
    <font>
      <b/>
      <sz val="9"/>
      <color rgb="FF0033CC"/>
      <name val="Verdana"/>
      <family val="2"/>
    </font>
    <font>
      <sz val="9"/>
      <color rgb="FF0033CC"/>
      <name val="Verdana"/>
      <family val="2"/>
    </font>
    <font>
      <sz val="10"/>
      <color rgb="FF0033CC"/>
      <name val="Verdana"/>
      <family val="2"/>
    </font>
    <font>
      <i/>
      <sz val="10"/>
      <name val="Verdana"/>
      <family val="2"/>
    </font>
    <font>
      <b/>
      <sz val="10"/>
      <color rgb="FF0033CC"/>
      <name val="Verdana"/>
      <family val="2"/>
    </font>
    <font>
      <u/>
      <sz val="10"/>
      <color theme="10"/>
      <name val="Arial"/>
      <family val="2"/>
    </font>
    <font>
      <b/>
      <i/>
      <sz val="9"/>
      <color theme="0" tint="-0.34998626667073579"/>
      <name val="Verdana"/>
      <family val="2"/>
    </font>
    <font>
      <i/>
      <sz val="10"/>
      <color theme="0" tint="-0.34998626667073579"/>
      <name val="Verdana"/>
      <family val="2"/>
    </font>
    <font>
      <b/>
      <sz val="11"/>
      <color rgb="FFFF0000"/>
      <name val="Verdana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9.5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ashed">
        <color theme="0" tint="-0.24994659260841701"/>
      </bottom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ashed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/>
      <right style="medium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dashed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dashed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medium">
        <color indexed="64"/>
      </bottom>
      <diagonal/>
    </border>
    <border>
      <left/>
      <right/>
      <top style="dashed">
        <color theme="0" tint="-0.24994659260841701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33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2" fontId="4" fillId="0" borderId="0" xfId="0" applyNumberFormat="1" applyFont="1"/>
    <xf numFmtId="0" fontId="7" fillId="0" borderId="0" xfId="0" applyFont="1"/>
    <xf numFmtId="0" fontId="6" fillId="0" borderId="0" xfId="0" applyFont="1"/>
    <xf numFmtId="0" fontId="8" fillId="0" borderId="0" xfId="0" applyFont="1" applyBorder="1" applyAlignment="1">
      <alignment vertical="center"/>
    </xf>
    <xf numFmtId="0" fontId="7" fillId="0" borderId="13" xfId="0" applyFont="1" applyFill="1" applyBorder="1"/>
    <xf numFmtId="0" fontId="11" fillId="0" borderId="0" xfId="0" applyFont="1"/>
    <xf numFmtId="0" fontId="11" fillId="0" borderId="0" xfId="0" applyFont="1" applyAlignment="1">
      <alignment horizontal="right"/>
    </xf>
    <xf numFmtId="4" fontId="7" fillId="0" borderId="0" xfId="0" applyNumberFormat="1" applyFont="1"/>
    <xf numFmtId="0" fontId="9" fillId="0" borderId="18" xfId="0" applyFont="1" applyFill="1" applyBorder="1"/>
    <xf numFmtId="0" fontId="9" fillId="0" borderId="0" xfId="0" applyFont="1" applyFill="1" applyBorder="1"/>
    <xf numFmtId="0" fontId="7" fillId="0" borderId="0" xfId="0" applyFont="1" applyBorder="1"/>
    <xf numFmtId="2" fontId="9" fillId="0" borderId="0" xfId="0" applyNumberFormat="1" applyFont="1"/>
    <xf numFmtId="2" fontId="7" fillId="0" borderId="0" xfId="0" applyNumberFormat="1" applyFont="1"/>
    <xf numFmtId="2" fontId="7" fillId="0" borderId="0" xfId="0" applyNumberFormat="1" applyFont="1" applyBorder="1"/>
    <xf numFmtId="0" fontId="7" fillId="0" borderId="0" xfId="0" applyFont="1" applyAlignment="1">
      <alignment vertical="center"/>
    </xf>
    <xf numFmtId="0" fontId="7" fillId="0" borderId="18" xfId="0" applyFont="1" applyFill="1" applyBorder="1"/>
    <xf numFmtId="0" fontId="7" fillId="0" borderId="21" xfId="0" applyFont="1" applyFill="1" applyBorder="1"/>
    <xf numFmtId="0" fontId="7" fillId="0" borderId="19" xfId="0" applyFont="1" applyBorder="1"/>
    <xf numFmtId="0" fontId="7" fillId="0" borderId="20" xfId="0" applyFont="1" applyBorder="1"/>
    <xf numFmtId="0" fontId="16" fillId="2" borderId="4" xfId="0" applyFont="1" applyFill="1" applyBorder="1" applyAlignment="1">
      <alignment vertical="center"/>
    </xf>
    <xf numFmtId="0" fontId="9" fillId="0" borderId="0" xfId="0" applyFont="1"/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Fill="1" applyBorder="1"/>
    <xf numFmtId="0" fontId="7" fillId="0" borderId="0" xfId="0" applyFont="1" applyAlignment="1">
      <alignment horizontal="center" wrapText="1"/>
    </xf>
    <xf numFmtId="0" fontId="13" fillId="0" borderId="0" xfId="0" applyFont="1" applyAlignment="1">
      <alignment vertical="center"/>
    </xf>
    <xf numFmtId="0" fontId="7" fillId="0" borderId="30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 shrinkToFit="1"/>
    </xf>
    <xf numFmtId="0" fontId="13" fillId="0" borderId="9" xfId="0" applyFont="1" applyBorder="1" applyAlignment="1">
      <alignment vertical="center"/>
    </xf>
    <xf numFmtId="0" fontId="9" fillId="3" borderId="27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2" fontId="7" fillId="0" borderId="30" xfId="0" applyNumberFormat="1" applyFont="1" applyBorder="1" applyAlignment="1">
      <alignment horizontal="center"/>
    </xf>
    <xf numFmtId="2" fontId="7" fillId="0" borderId="31" xfId="0" applyNumberFormat="1" applyFont="1" applyBorder="1" applyAlignment="1">
      <alignment horizontal="center"/>
    </xf>
    <xf numFmtId="0" fontId="19" fillId="0" borderId="0" xfId="0" applyFont="1" applyAlignment="1">
      <alignment vertical="center"/>
    </xf>
    <xf numFmtId="0" fontId="19" fillId="0" borderId="33" xfId="0" applyFont="1" applyBorder="1" applyAlignment="1">
      <alignment horizontal="center" vertical="center"/>
    </xf>
    <xf numFmtId="2" fontId="7" fillId="0" borderId="0" xfId="1" applyNumberFormat="1" applyFont="1" applyAlignment="1">
      <alignment horizontal="center"/>
    </xf>
    <xf numFmtId="164" fontId="7" fillId="0" borderId="0" xfId="1" applyFont="1" applyAlignment="1">
      <alignment horizontal="center" vertical="center"/>
    </xf>
    <xf numFmtId="164" fontId="9" fillId="0" borderId="0" xfId="1" applyFont="1" applyAlignment="1">
      <alignment horizontal="center" vertical="center"/>
    </xf>
    <xf numFmtId="2" fontId="7" fillId="0" borderId="0" xfId="1" applyNumberFormat="1" applyFont="1" applyAlignment="1">
      <alignment horizontal="center" vertical="center"/>
    </xf>
    <xf numFmtId="2" fontId="7" fillId="0" borderId="31" xfId="1" applyNumberFormat="1" applyFont="1" applyBorder="1" applyAlignment="1">
      <alignment horizontal="center"/>
    </xf>
    <xf numFmtId="164" fontId="9" fillId="0" borderId="31" xfId="1" applyFont="1" applyBorder="1" applyAlignment="1">
      <alignment horizontal="center"/>
    </xf>
    <xf numFmtId="2" fontId="7" fillId="0" borderId="32" xfId="1" applyNumberFormat="1" applyFont="1" applyBorder="1" applyAlignment="1">
      <alignment horizontal="center"/>
    </xf>
    <xf numFmtId="164" fontId="9" fillId="0" borderId="32" xfId="1" applyFont="1" applyBorder="1" applyAlignment="1">
      <alignment horizontal="center"/>
    </xf>
    <xf numFmtId="0" fontId="19" fillId="0" borderId="34" xfId="0" applyFont="1" applyBorder="1" applyAlignment="1">
      <alignment vertical="center"/>
    </xf>
    <xf numFmtId="0" fontId="7" fillId="0" borderId="36" xfId="0" applyFont="1" applyFill="1" applyBorder="1" applyAlignment="1">
      <alignment horizontal="center"/>
    </xf>
    <xf numFmtId="2" fontId="7" fillId="0" borderId="36" xfId="1" applyNumberFormat="1" applyFont="1" applyBorder="1" applyAlignment="1">
      <alignment horizontal="center"/>
    </xf>
    <xf numFmtId="164" fontId="9" fillId="0" borderId="36" xfId="1" applyFont="1" applyBorder="1" applyAlignment="1">
      <alignment horizontal="center"/>
    </xf>
    <xf numFmtId="164" fontId="9" fillId="3" borderId="1" xfId="1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/>
    </xf>
    <xf numFmtId="2" fontId="9" fillId="3" borderId="1" xfId="1" applyNumberFormat="1" applyFont="1" applyFill="1" applyBorder="1" applyAlignment="1">
      <alignment horizontal="center" vertical="center" wrapText="1" shrinkToFit="1"/>
    </xf>
    <xf numFmtId="2" fontId="9" fillId="3" borderId="1" xfId="1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2" fontId="7" fillId="3" borderId="17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 wrapText="1" shrinkToFit="1"/>
    </xf>
    <xf numFmtId="2" fontId="4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2" fontId="7" fillId="0" borderId="30" xfId="0" applyNumberFormat="1" applyFont="1" applyFill="1" applyBorder="1" applyAlignment="1">
      <alignment horizontal="center"/>
    </xf>
    <xf numFmtId="2" fontId="9" fillId="0" borderId="30" xfId="0" applyNumberFormat="1" applyFont="1" applyFill="1" applyBorder="1" applyAlignment="1">
      <alignment horizontal="center"/>
    </xf>
    <xf numFmtId="2" fontId="7" fillId="0" borderId="31" xfId="0" applyNumberFormat="1" applyFont="1" applyFill="1" applyBorder="1" applyAlignment="1">
      <alignment horizontal="center"/>
    </xf>
    <xf numFmtId="2" fontId="9" fillId="0" borderId="31" xfId="0" applyNumberFormat="1" applyFont="1" applyFill="1" applyBorder="1" applyAlignment="1">
      <alignment horizontal="center"/>
    </xf>
    <xf numFmtId="2" fontId="7" fillId="0" borderId="32" xfId="0" applyNumberFormat="1" applyFont="1" applyFill="1" applyBorder="1" applyAlignment="1">
      <alignment horizontal="center"/>
    </xf>
    <xf numFmtId="2" fontId="9" fillId="0" borderId="32" xfId="0" applyNumberFormat="1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 vertical="center" wrapText="1"/>
    </xf>
    <xf numFmtId="0" fontId="7" fillId="0" borderId="30" xfId="0" applyFont="1" applyFill="1" applyBorder="1"/>
    <xf numFmtId="0" fontId="7" fillId="0" borderId="31" xfId="0" applyFont="1" applyFill="1" applyBorder="1"/>
    <xf numFmtId="0" fontId="9" fillId="0" borderId="0" xfId="0" applyFont="1" applyBorder="1"/>
    <xf numFmtId="2" fontId="9" fillId="3" borderId="38" xfId="0" applyNumberFormat="1" applyFont="1" applyFill="1" applyBorder="1" applyAlignment="1">
      <alignment horizontal="center" vertical="center" wrapText="1"/>
    </xf>
    <xf numFmtId="2" fontId="7" fillId="3" borderId="34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2" fontId="9" fillId="3" borderId="38" xfId="0" applyNumberFormat="1" applyFont="1" applyFill="1" applyBorder="1" applyAlignment="1">
      <alignment horizontal="center" vertical="center" wrapText="1" shrinkToFit="1"/>
    </xf>
    <xf numFmtId="2" fontId="7" fillId="3" borderId="1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horizontal="right" wrapText="1"/>
    </xf>
    <xf numFmtId="2" fontId="7" fillId="0" borderId="0" xfId="1" applyNumberFormat="1" applyFont="1" applyAlignment="1">
      <alignment vertical="center"/>
    </xf>
    <xf numFmtId="2" fontId="8" fillId="0" borderId="0" xfId="1" applyNumberFormat="1" applyFont="1" applyBorder="1" applyAlignment="1">
      <alignment vertical="center"/>
    </xf>
    <xf numFmtId="2" fontId="7" fillId="0" borderId="16" xfId="1" applyNumberFormat="1" applyFont="1" applyFill="1" applyBorder="1" applyAlignment="1">
      <alignment vertical="center"/>
    </xf>
    <xf numFmtId="2" fontId="10" fillId="0" borderId="16" xfId="1" applyNumberFormat="1" applyFont="1" applyFill="1" applyBorder="1" applyAlignment="1">
      <alignment vertical="center"/>
    </xf>
    <xf numFmtId="2" fontId="9" fillId="0" borderId="12" xfId="1" applyNumberFormat="1" applyFont="1" applyFill="1" applyBorder="1"/>
    <xf numFmtId="2" fontId="7" fillId="0" borderId="0" xfId="1" applyNumberFormat="1" applyFont="1"/>
    <xf numFmtId="2" fontId="7" fillId="0" borderId="0" xfId="1" applyNumberFormat="1" applyFont="1" applyBorder="1"/>
    <xf numFmtId="2" fontId="7" fillId="0" borderId="2" xfId="1" applyNumberFormat="1" applyFont="1" applyFill="1" applyBorder="1" applyAlignment="1">
      <alignment horizontal="right" wrapText="1"/>
    </xf>
    <xf numFmtId="2" fontId="7" fillId="0" borderId="3" xfId="1" applyNumberFormat="1" applyFont="1" applyFill="1" applyBorder="1" applyAlignment="1">
      <alignment horizontal="right" wrapText="1"/>
    </xf>
    <xf numFmtId="2" fontId="7" fillId="0" borderId="21" xfId="0" applyNumberFormat="1" applyFont="1" applyFill="1" applyBorder="1" applyAlignment="1">
      <alignment horizontal="right" wrapText="1"/>
    </xf>
    <xf numFmtId="2" fontId="7" fillId="0" borderId="0" xfId="0" applyNumberFormat="1" applyFont="1" applyAlignment="1">
      <alignment horizontal="right" wrapText="1"/>
    </xf>
    <xf numFmtId="2" fontId="7" fillId="0" borderId="0" xfId="1" applyNumberFormat="1" applyFont="1" applyBorder="1" applyAlignment="1">
      <alignment horizontal="right" wrapText="1"/>
    </xf>
    <xf numFmtId="2" fontId="7" fillId="0" borderId="22" xfId="1" applyNumberFormat="1" applyFont="1" applyBorder="1" applyAlignment="1">
      <alignment horizontal="right" wrapText="1"/>
    </xf>
    <xf numFmtId="2" fontId="9" fillId="0" borderId="8" xfId="1" applyNumberFormat="1" applyFont="1" applyBorder="1" applyAlignment="1">
      <alignment horizontal="right" wrapText="1"/>
    </xf>
    <xf numFmtId="2" fontId="9" fillId="0" borderId="23" xfId="1" applyNumberFormat="1" applyFont="1" applyBorder="1" applyAlignment="1">
      <alignment horizontal="right" wrapText="1"/>
    </xf>
    <xf numFmtId="2" fontId="9" fillId="0" borderId="0" xfId="0" applyNumberFormat="1" applyFont="1" applyAlignment="1">
      <alignment horizontal="right" wrapText="1"/>
    </xf>
    <xf numFmtId="2" fontId="9" fillId="0" borderId="0" xfId="0" applyNumberFormat="1" applyFont="1" applyBorder="1" applyAlignment="1">
      <alignment horizontal="right" wrapText="1"/>
    </xf>
    <xf numFmtId="2" fontId="7" fillId="0" borderId="0" xfId="0" applyNumberFormat="1" applyFont="1" applyAlignment="1">
      <alignment horizontal="center"/>
    </xf>
    <xf numFmtId="2" fontId="15" fillId="0" borderId="16" xfId="1" applyNumberFormat="1" applyFont="1" applyBorder="1" applyAlignment="1">
      <alignment horizontal="center" vertical="center"/>
    </xf>
    <xf numFmtId="2" fontId="15" fillId="0" borderId="7" xfId="1" applyNumberFormat="1" applyFont="1" applyBorder="1" applyAlignment="1">
      <alignment horizontal="center" vertical="center"/>
    </xf>
    <xf numFmtId="2" fontId="15" fillId="0" borderId="2" xfId="1" applyNumberFormat="1" applyFont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7" fillId="0" borderId="0" xfId="0" applyFont="1" applyAlignment="1"/>
    <xf numFmtId="0" fontId="9" fillId="0" borderId="0" xfId="0" applyFont="1" applyAlignment="1">
      <alignment horizontal="center" wrapText="1"/>
    </xf>
    <xf numFmtId="0" fontId="26" fillId="0" borderId="6" xfId="0" applyFont="1" applyFill="1" applyBorder="1" applyAlignment="1">
      <alignment vertical="center"/>
    </xf>
    <xf numFmtId="0" fontId="26" fillId="0" borderId="2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30" fillId="0" borderId="0" xfId="0" applyFont="1" applyAlignment="1">
      <alignment horizontal="center" wrapText="1"/>
    </xf>
    <xf numFmtId="2" fontId="30" fillId="0" borderId="0" xfId="0" applyNumberFormat="1" applyFont="1"/>
    <xf numFmtId="0" fontId="30" fillId="0" borderId="0" xfId="0" applyFont="1"/>
    <xf numFmtId="0" fontId="30" fillId="0" borderId="0" xfId="0" applyFont="1" applyAlignment="1"/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31" fillId="0" borderId="21" xfId="0" applyFont="1" applyBorder="1" applyAlignment="1">
      <alignment vertical="center" wrapText="1"/>
    </xf>
    <xf numFmtId="8" fontId="31" fillId="0" borderId="21" xfId="0" applyNumberFormat="1" applyFont="1" applyBorder="1" applyAlignment="1">
      <alignment vertical="center"/>
    </xf>
    <xf numFmtId="0" fontId="31" fillId="0" borderId="21" xfId="0" applyFont="1" applyBorder="1" applyAlignment="1">
      <alignment horizontal="center" vertical="center"/>
    </xf>
    <xf numFmtId="0" fontId="31" fillId="0" borderId="21" xfId="0" applyFont="1" applyBorder="1" applyAlignment="1">
      <alignment horizontal="right" vertical="center"/>
    </xf>
    <xf numFmtId="8" fontId="32" fillId="2" borderId="6" xfId="2" applyNumberFormat="1" applyFont="1" applyFill="1" applyBorder="1" applyAlignment="1">
      <alignment vertical="center"/>
    </xf>
    <xf numFmtId="2" fontId="7" fillId="0" borderId="28" xfId="0" applyNumberFormat="1" applyFont="1" applyBorder="1" applyAlignment="1">
      <alignment horizontal="center" wrapText="1"/>
    </xf>
    <xf numFmtId="10" fontId="7" fillId="0" borderId="0" xfId="0" applyNumberFormat="1" applyFont="1" applyFill="1" applyBorder="1"/>
    <xf numFmtId="0" fontId="26" fillId="0" borderId="16" xfId="0" applyFont="1" applyBorder="1" applyAlignment="1">
      <alignment horizontal="center" vertical="center"/>
    </xf>
    <xf numFmtId="2" fontId="31" fillId="0" borderId="6" xfId="3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34" fillId="0" borderId="6" xfId="0" applyFont="1" applyBorder="1" applyAlignment="1">
      <alignment horizontal="center" vertical="center"/>
    </xf>
    <xf numFmtId="2" fontId="15" fillId="0" borderId="16" xfId="1" applyNumberFormat="1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 wrapText="1"/>
    </xf>
    <xf numFmtId="2" fontId="9" fillId="3" borderId="44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8" fillId="4" borderId="24" xfId="0" applyFont="1" applyFill="1" applyBorder="1" applyAlignment="1">
      <alignment vertical="center"/>
    </xf>
    <xf numFmtId="2" fontId="9" fillId="4" borderId="25" xfId="0" applyNumberFormat="1" applyFont="1" applyFill="1" applyBorder="1" applyAlignment="1">
      <alignment horizontal="center" wrapText="1"/>
    </xf>
    <xf numFmtId="2" fontId="9" fillId="4" borderId="26" xfId="0" applyNumberFormat="1" applyFont="1" applyFill="1" applyBorder="1" applyAlignment="1">
      <alignment horizontal="center" wrapText="1"/>
    </xf>
    <xf numFmtId="0" fontId="8" fillId="4" borderId="24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164" fontId="9" fillId="0" borderId="31" xfId="1" applyFont="1" applyBorder="1" applyAlignment="1">
      <alignment horizontal="center" vertical="center"/>
    </xf>
    <xf numFmtId="164" fontId="7" fillId="0" borderId="31" xfId="1" applyFont="1" applyBorder="1" applyAlignment="1">
      <alignment horizontal="center"/>
    </xf>
    <xf numFmtId="164" fontId="7" fillId="0" borderId="46" xfId="1" applyFont="1" applyBorder="1" applyAlignment="1">
      <alignment horizontal="center"/>
    </xf>
    <xf numFmtId="164" fontId="7" fillId="0" borderId="48" xfId="1" applyFont="1" applyBorder="1" applyAlignment="1">
      <alignment horizontal="center"/>
    </xf>
    <xf numFmtId="44" fontId="7" fillId="0" borderId="0" xfId="0" applyNumberFormat="1" applyFont="1"/>
    <xf numFmtId="0" fontId="24" fillId="0" borderId="0" xfId="0" applyFont="1" applyBorder="1" applyAlignment="1">
      <alignment horizontal="center" vertical="center" wrapText="1"/>
    </xf>
    <xf numFmtId="4" fontId="24" fillId="0" borderId="0" xfId="0" applyNumberFormat="1" applyFont="1" applyBorder="1" applyAlignment="1">
      <alignment horizontal="center" vertical="center" wrapText="1"/>
    </xf>
    <xf numFmtId="4" fontId="24" fillId="0" borderId="0" xfId="0" applyNumberFormat="1" applyFont="1" applyBorder="1" applyAlignment="1">
      <alignment horizontal="center" vertical="center"/>
    </xf>
    <xf numFmtId="8" fontId="32" fillId="2" borderId="6" xfId="2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/>
    </xf>
    <xf numFmtId="2" fontId="31" fillId="2" borderId="6" xfId="2" applyNumberFormat="1" applyFont="1" applyFill="1" applyBorder="1" applyAlignment="1">
      <alignment horizontal="center" vertical="center"/>
    </xf>
    <xf numFmtId="44" fontId="4" fillId="0" borderId="0" xfId="2" applyFont="1"/>
    <xf numFmtId="0" fontId="28" fillId="0" borderId="0" xfId="0" applyFont="1" applyFill="1" applyBorder="1" applyAlignment="1">
      <alignment horizontal="left" vertical="center" wrapText="1"/>
    </xf>
    <xf numFmtId="0" fontId="16" fillId="0" borderId="41" xfId="0" applyFont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wrapText="1"/>
    </xf>
    <xf numFmtId="0" fontId="7" fillId="0" borderId="47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2" fontId="16" fillId="0" borderId="0" xfId="0" applyNumberFormat="1" applyFont="1" applyFill="1" applyBorder="1" applyAlignment="1">
      <alignment horizontal="center" vertical="center" wrapText="1"/>
    </xf>
    <xf numFmtId="164" fontId="7" fillId="0" borderId="0" xfId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 vertical="center" wrapText="1"/>
    </xf>
    <xf numFmtId="1" fontId="32" fillId="0" borderId="0" xfId="2" applyNumberFormat="1" applyFont="1" applyFill="1" applyBorder="1" applyAlignment="1">
      <alignment horizontal="center" vertical="center"/>
    </xf>
    <xf numFmtId="0" fontId="13" fillId="0" borderId="49" xfId="0" applyFont="1" applyBorder="1" applyAlignment="1">
      <alignment vertical="center"/>
    </xf>
    <xf numFmtId="164" fontId="7" fillId="0" borderId="50" xfId="1" applyFont="1" applyBorder="1" applyAlignment="1">
      <alignment horizontal="center"/>
    </xf>
    <xf numFmtId="164" fontId="7" fillId="0" borderId="51" xfId="1" applyFont="1" applyBorder="1" applyAlignment="1">
      <alignment horizontal="center"/>
    </xf>
    <xf numFmtId="164" fontId="9" fillId="0" borderId="53" xfId="1" applyFont="1" applyBorder="1" applyAlignment="1">
      <alignment horizontal="center" vertical="center"/>
    </xf>
    <xf numFmtId="164" fontId="9" fillId="0" borderId="52" xfId="1" applyFont="1" applyBorder="1" applyAlignment="1">
      <alignment horizontal="center" vertical="center"/>
    </xf>
    <xf numFmtId="164" fontId="7" fillId="0" borderId="53" xfId="1" applyFont="1" applyBorder="1" applyAlignment="1">
      <alignment horizontal="center"/>
    </xf>
    <xf numFmtId="164" fontId="7" fillId="0" borderId="54" xfId="1" applyFont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vertical="center"/>
    </xf>
    <xf numFmtId="4" fontId="32" fillId="0" borderId="0" xfId="1" applyNumberFormat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 wrapText="1"/>
    </xf>
    <xf numFmtId="8" fontId="32" fillId="2" borderId="4" xfId="2" applyNumberFormat="1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 wrapText="1" shrinkToFit="1"/>
    </xf>
    <xf numFmtId="2" fontId="9" fillId="0" borderId="31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2" fontId="7" fillId="0" borderId="0" xfId="0" applyNumberFormat="1" applyFont="1" applyAlignment="1">
      <alignment vertical="center"/>
    </xf>
    <xf numFmtId="0" fontId="9" fillId="0" borderId="4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2" fontId="7" fillId="0" borderId="32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center"/>
    </xf>
    <xf numFmtId="2" fontId="7" fillId="0" borderId="55" xfId="0" applyNumberFormat="1" applyFont="1" applyBorder="1" applyAlignment="1">
      <alignment horizontal="center" wrapText="1"/>
    </xf>
    <xf numFmtId="2" fontId="7" fillId="0" borderId="0" xfId="1" applyNumberFormat="1" applyFont="1" applyBorder="1" applyAlignment="1">
      <alignment horizontal="center" vertical="center"/>
    </xf>
    <xf numFmtId="164" fontId="9" fillId="0" borderId="4" xfId="1" applyFont="1" applyFill="1" applyBorder="1" applyAlignment="1">
      <alignment horizontal="center" vertical="center" wrapText="1"/>
    </xf>
    <xf numFmtId="164" fontId="9" fillId="0" borderId="5" xfId="1" applyFont="1" applyFill="1" applyBorder="1" applyAlignment="1">
      <alignment horizontal="center" vertical="center"/>
    </xf>
    <xf numFmtId="4" fontId="25" fillId="0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4" fontId="32" fillId="2" borderId="6" xfId="2" applyFont="1" applyFill="1" applyBorder="1" applyAlignment="1">
      <alignment vertical="center"/>
    </xf>
    <xf numFmtId="2" fontId="9" fillId="0" borderId="31" xfId="0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2" fontId="7" fillId="0" borderId="2" xfId="1" applyNumberFormat="1" applyFont="1" applyBorder="1" applyAlignment="1">
      <alignment horizontal="center" vertical="center"/>
    </xf>
    <xf numFmtId="4" fontId="37" fillId="0" borderId="1" xfId="0" applyNumberFormat="1" applyFont="1" applyBorder="1" applyAlignment="1">
      <alignment horizontal="right"/>
    </xf>
    <xf numFmtId="4" fontId="38" fillId="0" borderId="1" xfId="0" applyNumberFormat="1" applyFont="1" applyBorder="1" applyAlignment="1">
      <alignment horizontal="right"/>
    </xf>
    <xf numFmtId="4" fontId="39" fillId="0" borderId="1" xfId="0" applyNumberFormat="1" applyFont="1" applyBorder="1" applyAlignment="1">
      <alignment horizontal="right"/>
    </xf>
    <xf numFmtId="2" fontId="7" fillId="3" borderId="17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right"/>
    </xf>
    <xf numFmtId="44" fontId="32" fillId="2" borderId="11" xfId="2" applyFont="1" applyFill="1" applyBorder="1" applyAlignment="1">
      <alignment horizontal="center" vertical="center"/>
    </xf>
    <xf numFmtId="44" fontId="32" fillId="2" borderId="12" xfId="2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28" fillId="0" borderId="16" xfId="0" applyFont="1" applyFill="1" applyBorder="1" applyAlignment="1">
      <alignment horizontal="left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4" fontId="25" fillId="0" borderId="38" xfId="0" applyNumberFormat="1" applyFont="1" applyFill="1" applyBorder="1" applyAlignment="1">
      <alignment horizontal="center" vertical="center"/>
    </xf>
    <xf numFmtId="4" fontId="25" fillId="0" borderId="27" xfId="0" applyNumberFormat="1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25" fillId="0" borderId="38" xfId="0" applyNumberFormat="1" applyFont="1" applyFill="1" applyBorder="1" applyAlignment="1">
      <alignment horizontal="center" vertical="center" wrapText="1"/>
    </xf>
    <xf numFmtId="4" fontId="25" fillId="0" borderId="27" xfId="0" applyNumberFormat="1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center" vertical="center" wrapText="1"/>
    </xf>
    <xf numFmtId="2" fontId="31" fillId="0" borderId="39" xfId="3" applyNumberFormat="1" applyFont="1" applyBorder="1" applyAlignment="1">
      <alignment horizontal="center" vertical="center"/>
    </xf>
    <xf numFmtId="2" fontId="31" fillId="0" borderId="40" xfId="3" applyNumberFormat="1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8" fontId="31" fillId="0" borderId="7" xfId="0" applyNumberFormat="1" applyFont="1" applyBorder="1" applyAlignment="1">
      <alignment horizontal="center" vertical="center"/>
    </xf>
    <xf numFmtId="8" fontId="31" fillId="0" borderId="3" xfId="0" applyNumberFormat="1" applyFont="1" applyBorder="1" applyAlignment="1">
      <alignment horizontal="center" vertical="center"/>
    </xf>
    <xf numFmtId="8" fontId="31" fillId="0" borderId="11" xfId="0" applyNumberFormat="1" applyFont="1" applyBorder="1" applyAlignment="1">
      <alignment horizontal="right" vertical="center"/>
    </xf>
    <xf numFmtId="0" fontId="31" fillId="0" borderId="12" xfId="0" applyFont="1" applyBorder="1" applyAlignment="1">
      <alignment horizontal="right" vertical="center"/>
    </xf>
    <xf numFmtId="0" fontId="24" fillId="0" borderId="0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27" fillId="2" borderId="5" xfId="0" applyFont="1" applyFill="1" applyBorder="1" applyAlignment="1">
      <alignment horizontal="left" vertical="center" wrapText="1"/>
    </xf>
    <xf numFmtId="8" fontId="31" fillId="0" borderId="7" xfId="0" applyNumberFormat="1" applyFont="1" applyBorder="1" applyAlignment="1">
      <alignment horizontal="right" vertical="center"/>
    </xf>
    <xf numFmtId="0" fontId="31" fillId="0" borderId="3" xfId="0" applyFont="1" applyBorder="1" applyAlignment="1">
      <alignment horizontal="right" vertical="center"/>
    </xf>
    <xf numFmtId="0" fontId="27" fillId="2" borderId="4" xfId="0" applyFont="1" applyFill="1" applyBorder="1" applyAlignment="1">
      <alignment horizontal="right" vertical="center" wrapText="1"/>
    </xf>
    <xf numFmtId="0" fontId="27" fillId="2" borderId="14" xfId="0" applyFont="1" applyFill="1" applyBorder="1" applyAlignment="1">
      <alignment horizontal="right" vertical="center" wrapText="1"/>
    </xf>
    <xf numFmtId="0" fontId="27" fillId="2" borderId="5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 wrapText="1"/>
    </xf>
    <xf numFmtId="0" fontId="33" fillId="0" borderId="0" xfId="4" applyBorder="1" applyAlignment="1">
      <alignment horizontal="center" vertical="center" wrapText="1"/>
    </xf>
    <xf numFmtId="2" fontId="35" fillId="0" borderId="2" xfId="0" applyNumberFormat="1" applyFont="1" applyBorder="1" applyAlignment="1">
      <alignment horizontal="center" vertical="center" wrapText="1"/>
    </xf>
    <xf numFmtId="2" fontId="35" fillId="0" borderId="3" xfId="0" applyNumberFormat="1" applyFont="1" applyBorder="1" applyAlignment="1">
      <alignment horizontal="center" vertical="center" wrapText="1"/>
    </xf>
    <xf numFmtId="2" fontId="31" fillId="0" borderId="7" xfId="0" applyNumberFormat="1" applyFont="1" applyBorder="1" applyAlignment="1">
      <alignment horizontal="center" vertical="center"/>
    </xf>
    <xf numFmtId="2" fontId="31" fillId="0" borderId="3" xfId="0" applyNumberFormat="1" applyFont="1" applyBorder="1" applyAlignment="1">
      <alignment horizontal="center" vertical="center"/>
    </xf>
    <xf numFmtId="2" fontId="31" fillId="0" borderId="7" xfId="3" applyNumberFormat="1" applyFont="1" applyBorder="1" applyAlignment="1">
      <alignment horizontal="center" vertical="center"/>
    </xf>
    <xf numFmtId="2" fontId="31" fillId="0" borderId="3" xfId="3" applyNumberFormat="1" applyFont="1" applyBorder="1" applyAlignment="1">
      <alignment horizontal="center" vertical="center"/>
    </xf>
    <xf numFmtId="8" fontId="31" fillId="0" borderId="3" xfId="0" applyNumberFormat="1" applyFont="1" applyBorder="1" applyAlignment="1">
      <alignment horizontal="right" vertical="center"/>
    </xf>
    <xf numFmtId="1" fontId="32" fillId="2" borderId="11" xfId="2" applyNumberFormat="1" applyFont="1" applyFill="1" applyBorder="1" applyAlignment="1">
      <alignment horizontal="center" vertical="center"/>
    </xf>
    <xf numFmtId="1" fontId="32" fillId="2" borderId="12" xfId="2" applyNumberFormat="1" applyFont="1" applyFill="1" applyBorder="1" applyAlignment="1">
      <alignment horizontal="center" vertical="center"/>
    </xf>
    <xf numFmtId="164" fontId="17" fillId="0" borderId="34" xfId="1" applyFont="1" applyFill="1" applyBorder="1" applyAlignment="1">
      <alignment horizontal="center" vertical="center" wrapText="1"/>
    </xf>
    <xf numFmtId="164" fontId="17" fillId="0" borderId="35" xfId="1" applyFont="1" applyFill="1" applyBorder="1" applyAlignment="1">
      <alignment horizontal="center" vertical="center" wrapText="1"/>
    </xf>
    <xf numFmtId="2" fontId="17" fillId="0" borderId="34" xfId="1" applyNumberFormat="1" applyFont="1" applyFill="1" applyBorder="1" applyAlignment="1">
      <alignment horizontal="center" vertical="center" wrapText="1"/>
    </xf>
    <xf numFmtId="2" fontId="17" fillId="0" borderId="35" xfId="1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justify" vertical="center" wrapText="1"/>
    </xf>
    <xf numFmtId="0" fontId="24" fillId="0" borderId="0" xfId="0" applyFont="1" applyBorder="1" applyAlignment="1">
      <alignment horizontal="left"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33" fillId="0" borderId="0" xfId="4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8" fontId="31" fillId="0" borderId="10" xfId="0" applyNumberFormat="1" applyFont="1" applyBorder="1" applyAlignment="1">
      <alignment horizontal="center" vertical="center"/>
    </xf>
    <xf numFmtId="8" fontId="31" fillId="0" borderId="18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165" fontId="32" fillId="2" borderId="11" xfId="2" applyNumberFormat="1" applyFont="1" applyFill="1" applyBorder="1" applyAlignment="1">
      <alignment horizontal="center" vertical="center"/>
    </xf>
    <xf numFmtId="165" fontId="32" fillId="2" borderId="12" xfId="2" applyNumberFormat="1" applyFont="1" applyFill="1" applyBorder="1" applyAlignment="1">
      <alignment horizontal="center" vertical="center"/>
    </xf>
    <xf numFmtId="2" fontId="17" fillId="0" borderId="17" xfId="0" applyNumberFormat="1" applyFont="1" applyFill="1" applyBorder="1" applyAlignment="1">
      <alignment horizontal="center" vertical="center" wrapText="1"/>
    </xf>
    <xf numFmtId="2" fontId="17" fillId="0" borderId="29" xfId="0" applyNumberFormat="1" applyFont="1" applyFill="1" applyBorder="1" applyAlignment="1">
      <alignment horizontal="center" vertical="center" wrapText="1"/>
    </xf>
    <xf numFmtId="1" fontId="32" fillId="2" borderId="7" xfId="2" applyNumberFormat="1" applyFont="1" applyFill="1" applyBorder="1" applyAlignment="1">
      <alignment horizontal="center" vertical="center"/>
    </xf>
    <xf numFmtId="1" fontId="32" fillId="2" borderId="3" xfId="2" applyNumberFormat="1" applyFont="1" applyFill="1" applyBorder="1" applyAlignment="1">
      <alignment horizontal="center" vertical="center"/>
    </xf>
    <xf numFmtId="4" fontId="25" fillId="0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/>
    </xf>
    <xf numFmtId="2" fontId="35" fillId="0" borderId="7" xfId="0" applyNumberFormat="1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2" fontId="15" fillId="0" borderId="13" xfId="0" applyNumberFormat="1" applyFont="1" applyBorder="1" applyAlignment="1">
      <alignment horizontal="right" vertical="center" wrapText="1"/>
    </xf>
    <xf numFmtId="2" fontId="15" fillId="0" borderId="16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justify" vertical="center" wrapText="1"/>
    </xf>
    <xf numFmtId="0" fontId="8" fillId="4" borderId="4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15" fillId="0" borderId="0" xfId="0" applyFont="1" applyAlignment="1">
      <alignment horizontal="justify" vertical="center" wrapText="1"/>
    </xf>
    <xf numFmtId="0" fontId="15" fillId="0" borderId="15" xfId="0" applyFont="1" applyBorder="1" applyAlignment="1">
      <alignment horizontal="justify" vertical="center" wrapText="1"/>
    </xf>
    <xf numFmtId="2" fontId="7" fillId="0" borderId="16" xfId="0" applyNumberFormat="1" applyFont="1" applyBorder="1" applyAlignment="1">
      <alignment horizontal="right" wrapText="1"/>
    </xf>
    <xf numFmtId="2" fontId="7" fillId="0" borderId="12" xfId="0" applyNumberFormat="1" applyFont="1" applyBorder="1" applyAlignment="1">
      <alignment horizontal="right" wrapText="1"/>
    </xf>
    <xf numFmtId="0" fontId="8" fillId="4" borderId="4" xfId="0" applyFont="1" applyFill="1" applyBorder="1" applyAlignment="1">
      <alignment horizontal="justify" vertical="center" wrapText="1"/>
    </xf>
    <xf numFmtId="0" fontId="8" fillId="4" borderId="14" xfId="0" applyFont="1" applyFill="1" applyBorder="1" applyAlignment="1">
      <alignment horizontal="justify" vertical="center" wrapText="1"/>
    </xf>
    <xf numFmtId="0" fontId="8" fillId="4" borderId="5" xfId="0" applyFont="1" applyFill="1" applyBorder="1" applyAlignment="1">
      <alignment horizontal="justify" vertical="center" wrapText="1"/>
    </xf>
    <xf numFmtId="0" fontId="8" fillId="4" borderId="21" xfId="0" applyFont="1" applyFill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2" fontId="15" fillId="0" borderId="7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right" vertical="center" wrapText="1"/>
    </xf>
    <xf numFmtId="2" fontId="15" fillId="0" borderId="2" xfId="0" applyNumberFormat="1" applyFont="1" applyBorder="1" applyAlignment="1">
      <alignment horizontal="right" vertical="center" wrapText="1"/>
    </xf>
    <xf numFmtId="2" fontId="15" fillId="0" borderId="3" xfId="0" applyNumberFormat="1" applyFont="1" applyBorder="1" applyAlignment="1">
      <alignment horizontal="right" vertical="center" wrapText="1"/>
    </xf>
    <xf numFmtId="2" fontId="21" fillId="0" borderId="16" xfId="0" applyNumberFormat="1" applyFont="1" applyBorder="1" applyAlignment="1">
      <alignment horizontal="right" wrapText="1"/>
    </xf>
    <xf numFmtId="2" fontId="21" fillId="0" borderId="12" xfId="0" applyNumberFormat="1" applyFont="1" applyBorder="1" applyAlignment="1">
      <alignment horizontal="right" wrapText="1"/>
    </xf>
    <xf numFmtId="0" fontId="22" fillId="4" borderId="4" xfId="0" applyFont="1" applyFill="1" applyBorder="1" applyAlignment="1">
      <alignment horizontal="justify" vertical="center" wrapText="1"/>
    </xf>
    <xf numFmtId="0" fontId="22" fillId="4" borderId="14" xfId="0" applyFont="1" applyFill="1" applyBorder="1" applyAlignment="1">
      <alignment horizontal="justify" vertical="center" wrapText="1"/>
    </xf>
    <xf numFmtId="0" fontId="22" fillId="4" borderId="5" xfId="0" applyFont="1" applyFill="1" applyBorder="1" applyAlignment="1">
      <alignment horizontal="justify" vertical="center" wrapText="1"/>
    </xf>
    <xf numFmtId="0" fontId="20" fillId="0" borderId="2" xfId="0" applyFont="1" applyBorder="1" applyAlignment="1">
      <alignment horizontal="justify" vertical="center" wrapText="1"/>
    </xf>
    <xf numFmtId="0" fontId="20" fillId="0" borderId="3" xfId="0" applyFont="1" applyBorder="1" applyAlignment="1">
      <alignment horizontal="justify" vertical="center" wrapText="1"/>
    </xf>
  </cellXfs>
  <cellStyles count="5">
    <cellStyle name="Hipervínculo" xfId="4" builtinId="8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C0C0C0"/>
      <color rgb="FF0033CC"/>
      <color rgb="FF0000CC"/>
      <color rgb="FF0000FF"/>
      <color rgb="FF3399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rviciopas.umh.es/files/2023/01/CALCULO-RC-contrato-e-indemnizacion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erviciopas.umh.es/files/2023/01/CALCULO-RC-contrato-e-indemnizacion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serviciopas.umh.es/files/2019/04/CALCULO-RC-nuevo.xls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erviciopas.umh.es/files/2023/01/CALCULO-RC-contrato-e-indemnizacion.xls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erviciopas.umh.es/files/2023/01/CALCULO-RC-contrato-e-indemnizacion.xls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serviciopas.umh.es/files/2023/01/CALCULO-RC-contrato-e-indemnizacion.xls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serviciopas.umh.es/files/2023/01/CALCULO-RC-contrato-e-indemnizacion.xlsx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serviciopas.umh.es/files/2023/01/CALCULO-RC-contrato-e-indemnizacion.xlsx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zoomScale="98" zoomScaleNormal="98" workbookViewId="0">
      <selection activeCell="L8" sqref="L8:L9"/>
    </sheetView>
  </sheetViews>
  <sheetFormatPr baseColWidth="10" defaultColWidth="11.5703125" defaultRowHeight="12.75" x14ac:dyDescent="0.2"/>
  <cols>
    <col min="1" max="1" width="15" style="33" customWidth="1"/>
    <col min="2" max="2" width="21.28515625" style="33" customWidth="1"/>
    <col min="3" max="3" width="0.140625" style="33" customWidth="1"/>
    <col min="4" max="4" width="14.42578125" style="113" customWidth="1"/>
    <col min="5" max="5" width="18.28515625" style="8" customWidth="1"/>
    <col min="6" max="6" width="24.7109375" style="8" customWidth="1"/>
    <col min="7" max="7" width="18.42578125" style="8" customWidth="1"/>
    <col min="8" max="8" width="11.5703125" style="8"/>
    <col min="9" max="9" width="19.7109375" style="35" customWidth="1"/>
    <col min="10" max="10" width="19.42578125" style="19" customWidth="1"/>
    <col min="11" max="11" width="18.7109375" style="8" customWidth="1"/>
    <col min="12" max="12" width="17.7109375" style="112" customWidth="1"/>
    <col min="13" max="13" width="15.28515625" style="8" customWidth="1"/>
    <col min="14" max="16384" width="11.5703125" style="8"/>
  </cols>
  <sheetData>
    <row r="1" spans="1:13" ht="43.15" customHeight="1" x14ac:dyDescent="0.2">
      <c r="A1" s="233" t="s">
        <v>105</v>
      </c>
      <c r="B1" s="234"/>
      <c r="C1" s="234"/>
      <c r="D1" s="234"/>
      <c r="E1" s="234"/>
      <c r="F1" s="234"/>
      <c r="G1" s="234"/>
      <c r="I1" s="238" t="s">
        <v>113</v>
      </c>
      <c r="J1" s="239"/>
      <c r="K1" s="239"/>
      <c r="L1" s="239"/>
      <c r="M1" s="240"/>
    </row>
    <row r="2" spans="1:13" s="36" customFormat="1" ht="28.5" customHeight="1" x14ac:dyDescent="0.2">
      <c r="A2" s="44"/>
      <c r="B2" s="229" t="s">
        <v>45</v>
      </c>
      <c r="C2" s="229"/>
      <c r="D2" s="229"/>
      <c r="E2" s="42"/>
      <c r="F2" s="229" t="s">
        <v>46</v>
      </c>
      <c r="G2" s="230"/>
      <c r="I2" s="228" t="s">
        <v>48</v>
      </c>
      <c r="J2" s="228"/>
      <c r="K2" s="228"/>
      <c r="L2" s="228" t="s">
        <v>52</v>
      </c>
      <c r="M2" s="228"/>
    </row>
    <row r="3" spans="1:13" s="27" customFormat="1" ht="48.4" customHeight="1" x14ac:dyDescent="0.2">
      <c r="A3" s="43" t="s">
        <v>43</v>
      </c>
      <c r="B3" s="40" t="s">
        <v>44</v>
      </c>
      <c r="C3" s="40" t="s">
        <v>49</v>
      </c>
      <c r="D3" s="185" t="s">
        <v>106</v>
      </c>
      <c r="E3" s="40" t="s">
        <v>43</v>
      </c>
      <c r="F3" s="40" t="s">
        <v>44</v>
      </c>
      <c r="G3" s="41" t="s">
        <v>107</v>
      </c>
      <c r="I3" s="121" t="s">
        <v>47</v>
      </c>
      <c r="J3" s="121" t="s">
        <v>58</v>
      </c>
      <c r="K3" s="121" t="s">
        <v>59</v>
      </c>
      <c r="L3" s="122" t="s">
        <v>50</v>
      </c>
      <c r="M3" s="121" t="s">
        <v>51</v>
      </c>
    </row>
    <row r="4" spans="1:13" ht="16.5" customHeight="1" x14ac:dyDescent="0.2">
      <c r="A4" s="37">
        <v>37.5</v>
      </c>
      <c r="B4" s="45">
        <f>PARAMETROS!B2</f>
        <v>2813.5430978715499</v>
      </c>
      <c r="C4" s="45"/>
      <c r="D4" s="128"/>
      <c r="E4" s="37">
        <v>37.5</v>
      </c>
      <c r="F4" s="45">
        <f>PARAMETROS!C2</f>
        <v>3657.6052484366</v>
      </c>
      <c r="G4" s="45">
        <f>IF(F4&gt;=$K$4,$K$4*$K$18%,F4*$K$18%)</f>
        <v>1172.9940031736176</v>
      </c>
      <c r="I4" s="235">
        <v>1</v>
      </c>
      <c r="J4" s="236">
        <v>1929</v>
      </c>
      <c r="K4" s="236">
        <v>4909.5</v>
      </c>
      <c r="L4" s="231">
        <v>1381.2</v>
      </c>
      <c r="M4" s="231">
        <v>4909.5</v>
      </c>
    </row>
    <row r="5" spans="1:13" ht="16.5" customHeight="1" x14ac:dyDescent="0.2">
      <c r="A5" s="38">
        <v>36</v>
      </c>
      <c r="B5" s="46">
        <f>(PRODUCT(B$4,A5)/A$4)</f>
        <v>2701.0013739566875</v>
      </c>
      <c r="C5" s="186">
        <f>((A5/$A$4*7.5*5)/7)*30*$D$43</f>
        <v>1792.8000000000002</v>
      </c>
      <c r="D5" s="128">
        <f t="shared" ref="D5:D40" si="0">IF(B5&lt;C5,C5*$K$18%,B5*$K$18%)</f>
        <v>866.21114062790969</v>
      </c>
      <c r="E5" s="38">
        <v>36</v>
      </c>
      <c r="F5" s="46">
        <f t="shared" ref="F5:F40" si="1">PRODUCT(F$4,E5)/E$4</f>
        <v>3511.3010384991362</v>
      </c>
      <c r="G5" s="46">
        <f t="shared" ref="G5:G40" si="2">IF(F5&gt;=$K$4,$K$4*$K$18%,F5*$K$18%)</f>
        <v>1126.074243046673</v>
      </c>
      <c r="I5" s="235"/>
      <c r="J5" s="237"/>
      <c r="K5" s="237"/>
      <c r="L5" s="232"/>
      <c r="M5" s="232"/>
    </row>
    <row r="6" spans="1:13" ht="16.5" customHeight="1" x14ac:dyDescent="0.2">
      <c r="A6" s="38">
        <v>35</v>
      </c>
      <c r="B6" s="46">
        <f t="shared" ref="B6:B40" si="3">(PRODUCT(B$4,A6)/A$4)</f>
        <v>2625.9735580134466</v>
      </c>
      <c r="C6" s="186">
        <f t="shared" ref="C6:C40" si="4">((A6/A$4*7.5*5)/7)*30*$D$43</f>
        <v>1742.9999999999998</v>
      </c>
      <c r="D6" s="128">
        <f t="shared" si="0"/>
        <v>842.14972005491222</v>
      </c>
      <c r="E6" s="38">
        <v>35</v>
      </c>
      <c r="F6" s="46">
        <f t="shared" si="1"/>
        <v>3413.7648985408264</v>
      </c>
      <c r="G6" s="46">
        <f t="shared" si="2"/>
        <v>1094.794402962043</v>
      </c>
      <c r="J6" s="8"/>
    </row>
    <row r="7" spans="1:13" ht="16.5" customHeight="1" thickBot="1" x14ac:dyDescent="0.25">
      <c r="A7" s="38">
        <v>34</v>
      </c>
      <c r="B7" s="46">
        <f t="shared" si="3"/>
        <v>2550.9457420702051</v>
      </c>
      <c r="C7" s="186">
        <f t="shared" si="4"/>
        <v>1693.1999999999996</v>
      </c>
      <c r="D7" s="128">
        <f t="shared" si="0"/>
        <v>818.08829948191476</v>
      </c>
      <c r="E7" s="38">
        <v>34</v>
      </c>
      <c r="F7" s="46">
        <f t="shared" si="1"/>
        <v>3316.2287585825175</v>
      </c>
      <c r="G7" s="46">
        <f t="shared" si="2"/>
        <v>1063.5145628774133</v>
      </c>
    </row>
    <row r="8" spans="1:13" ht="16.5" customHeight="1" x14ac:dyDescent="0.2">
      <c r="A8" s="38">
        <v>33</v>
      </c>
      <c r="B8" s="46">
        <f t="shared" si="3"/>
        <v>2475.9179261269637</v>
      </c>
      <c r="C8" s="186">
        <f t="shared" si="4"/>
        <v>1643.4</v>
      </c>
      <c r="D8" s="128">
        <f t="shared" si="0"/>
        <v>794.02687890891718</v>
      </c>
      <c r="E8" s="38">
        <v>33</v>
      </c>
      <c r="F8" s="46">
        <f t="shared" si="1"/>
        <v>3218.6926186242081</v>
      </c>
      <c r="G8" s="46">
        <f t="shared" si="2"/>
        <v>1032.2347227927835</v>
      </c>
      <c r="I8" s="218" t="s">
        <v>88</v>
      </c>
      <c r="J8" s="218"/>
      <c r="K8" s="219"/>
      <c r="L8" s="216">
        <v>0</v>
      </c>
    </row>
    <row r="9" spans="1:13" ht="16.5" customHeight="1" thickBot="1" x14ac:dyDescent="0.25">
      <c r="A9" s="38">
        <v>32</v>
      </c>
      <c r="B9" s="46">
        <f t="shared" si="3"/>
        <v>2400.8901101837228</v>
      </c>
      <c r="C9" s="186">
        <f t="shared" si="4"/>
        <v>1593.6</v>
      </c>
      <c r="D9" s="128">
        <f t="shared" si="0"/>
        <v>769.96545833591983</v>
      </c>
      <c r="E9" s="38">
        <v>32</v>
      </c>
      <c r="F9" s="46">
        <f t="shared" si="1"/>
        <v>3121.1564786658987</v>
      </c>
      <c r="G9" s="46">
        <f t="shared" si="2"/>
        <v>1000.9548827081537</v>
      </c>
      <c r="I9" s="218"/>
      <c r="J9" s="218"/>
      <c r="K9" s="219"/>
      <c r="L9" s="217"/>
    </row>
    <row r="10" spans="1:13" ht="16.5" customHeight="1" thickBot="1" x14ac:dyDescent="0.25">
      <c r="A10" s="38">
        <v>31</v>
      </c>
      <c r="B10" s="46">
        <f t="shared" si="3"/>
        <v>2325.8622942404813</v>
      </c>
      <c r="C10" s="186">
        <f t="shared" si="4"/>
        <v>1543.8</v>
      </c>
      <c r="D10" s="128">
        <f t="shared" si="0"/>
        <v>745.90403776292237</v>
      </c>
      <c r="E10" s="38">
        <v>31</v>
      </c>
      <c r="F10" s="46">
        <f t="shared" si="1"/>
        <v>3023.6203387075893</v>
      </c>
      <c r="G10" s="46">
        <f t="shared" si="2"/>
        <v>969.67504262352384</v>
      </c>
      <c r="I10" s="117"/>
      <c r="J10" s="118"/>
      <c r="K10" s="119"/>
      <c r="L10" s="120"/>
    </row>
    <row r="11" spans="1:13" ht="16.5" customHeight="1" x14ac:dyDescent="0.2">
      <c r="A11" s="38">
        <v>30</v>
      </c>
      <c r="B11" s="46">
        <f t="shared" si="3"/>
        <v>2250.8344782972399</v>
      </c>
      <c r="C11" s="186">
        <f t="shared" si="4"/>
        <v>1493.9999999999998</v>
      </c>
      <c r="D11" s="128">
        <f t="shared" si="0"/>
        <v>721.84261718992479</v>
      </c>
      <c r="E11" s="38">
        <v>30</v>
      </c>
      <c r="F11" s="46">
        <f t="shared" si="1"/>
        <v>2926.0841987492799</v>
      </c>
      <c r="G11" s="46">
        <f t="shared" si="2"/>
        <v>938.39520253889407</v>
      </c>
      <c r="I11" s="220" t="s">
        <v>60</v>
      </c>
      <c r="J11" s="221"/>
      <c r="K11" s="221"/>
      <c r="L11" s="222"/>
    </row>
    <row r="12" spans="1:13" ht="16.5" customHeight="1" thickBot="1" x14ac:dyDescent="0.25">
      <c r="A12" s="38">
        <v>29</v>
      </c>
      <c r="B12" s="46">
        <f t="shared" si="3"/>
        <v>2175.8066623539985</v>
      </c>
      <c r="C12" s="186">
        <f t="shared" si="4"/>
        <v>1444.2</v>
      </c>
      <c r="D12" s="128">
        <f t="shared" si="0"/>
        <v>697.78119661692733</v>
      </c>
      <c r="E12" s="38">
        <v>29</v>
      </c>
      <c r="F12" s="46">
        <f t="shared" si="1"/>
        <v>2828.548058790971</v>
      </c>
      <c r="G12" s="46">
        <f t="shared" si="2"/>
        <v>907.11536245426441</v>
      </c>
      <c r="I12" s="223"/>
      <c r="J12" s="224"/>
      <c r="K12" s="224"/>
      <c r="L12" s="225"/>
    </row>
    <row r="13" spans="1:13" ht="16.5" customHeight="1" thickBot="1" x14ac:dyDescent="0.25">
      <c r="A13" s="38">
        <v>28</v>
      </c>
      <c r="B13" s="46">
        <f t="shared" si="3"/>
        <v>2100.7788464107575</v>
      </c>
      <c r="C13" s="186">
        <f t="shared" si="4"/>
        <v>1394.4000000000003</v>
      </c>
      <c r="D13" s="128">
        <f t="shared" si="0"/>
        <v>673.71977604392987</v>
      </c>
      <c r="E13" s="38">
        <v>28</v>
      </c>
      <c r="F13" s="46">
        <f t="shared" si="1"/>
        <v>2731.0119188326612</v>
      </c>
      <c r="G13" s="46">
        <f t="shared" si="2"/>
        <v>875.83552236963442</v>
      </c>
      <c r="I13" s="114"/>
      <c r="J13" s="115" t="s">
        <v>53</v>
      </c>
      <c r="K13" s="130" t="s">
        <v>54</v>
      </c>
      <c r="L13" s="116" t="s">
        <v>55</v>
      </c>
    </row>
    <row r="14" spans="1:13" ht="16.5" customHeight="1" x14ac:dyDescent="0.2">
      <c r="A14" s="38">
        <v>27</v>
      </c>
      <c r="B14" s="46">
        <f t="shared" si="3"/>
        <v>2025.7510304675159</v>
      </c>
      <c r="C14" s="186">
        <f t="shared" si="4"/>
        <v>1344.6</v>
      </c>
      <c r="D14" s="128">
        <f t="shared" si="0"/>
        <v>649.65835547093229</v>
      </c>
      <c r="E14" s="38">
        <v>27</v>
      </c>
      <c r="F14" s="46">
        <f t="shared" si="1"/>
        <v>2633.4757788743523</v>
      </c>
      <c r="G14" s="46">
        <f t="shared" si="2"/>
        <v>844.55568228500476</v>
      </c>
      <c r="I14" s="226" t="s">
        <v>56</v>
      </c>
      <c r="J14" s="245">
        <f>IF(L8&gt;=J4,L8,J4)</f>
        <v>1929</v>
      </c>
      <c r="K14" s="241">
        <v>24.27</v>
      </c>
      <c r="L14" s="247">
        <f>J14*K14%</f>
        <v>468.16829999999999</v>
      </c>
    </row>
    <row r="15" spans="1:13" ht="16.5" customHeight="1" thickBot="1" x14ac:dyDescent="0.25">
      <c r="A15" s="38">
        <v>26</v>
      </c>
      <c r="B15" s="46">
        <f t="shared" si="3"/>
        <v>1950.7232145242747</v>
      </c>
      <c r="C15" s="186">
        <f t="shared" si="4"/>
        <v>1294.8</v>
      </c>
      <c r="D15" s="128">
        <f t="shared" si="0"/>
        <v>625.59693489793483</v>
      </c>
      <c r="E15" s="38">
        <v>26</v>
      </c>
      <c r="F15" s="46">
        <f t="shared" si="1"/>
        <v>2535.9396389160424</v>
      </c>
      <c r="G15" s="46">
        <f t="shared" si="2"/>
        <v>813.27584220037477</v>
      </c>
      <c r="I15" s="227"/>
      <c r="J15" s="246"/>
      <c r="K15" s="242"/>
      <c r="L15" s="248"/>
    </row>
    <row r="16" spans="1:13" ht="16.5" customHeight="1" x14ac:dyDescent="0.2">
      <c r="A16" s="38">
        <v>25</v>
      </c>
      <c r="B16" s="46">
        <f t="shared" si="3"/>
        <v>1875.6953985810335</v>
      </c>
      <c r="C16" s="186">
        <f t="shared" si="4"/>
        <v>1245</v>
      </c>
      <c r="D16" s="128">
        <f t="shared" si="0"/>
        <v>601.53551432493737</v>
      </c>
      <c r="E16" s="38">
        <v>25</v>
      </c>
      <c r="F16" s="46">
        <f t="shared" si="1"/>
        <v>2438.4034989577335</v>
      </c>
      <c r="G16" s="46">
        <f t="shared" si="2"/>
        <v>781.99600211574511</v>
      </c>
      <c r="I16" s="243" t="s">
        <v>57</v>
      </c>
      <c r="J16" s="245">
        <f>IF(L8&gt;=L4,L8,L4)</f>
        <v>1381.2</v>
      </c>
      <c r="K16" s="241">
        <v>7.8</v>
      </c>
      <c r="L16" s="252">
        <f>J16*K16%</f>
        <v>107.73360000000001</v>
      </c>
    </row>
    <row r="17" spans="1:14" ht="16.5" customHeight="1" thickBot="1" x14ac:dyDescent="0.25">
      <c r="A17" s="38">
        <v>24</v>
      </c>
      <c r="B17" s="46">
        <f t="shared" si="3"/>
        <v>1800.6675826377918</v>
      </c>
      <c r="C17" s="186">
        <f t="shared" si="4"/>
        <v>1195.1999999999998</v>
      </c>
      <c r="D17" s="128">
        <f t="shared" si="0"/>
        <v>577.47409375193979</v>
      </c>
      <c r="E17" s="38">
        <v>24</v>
      </c>
      <c r="F17" s="46">
        <f t="shared" si="1"/>
        <v>2340.8673589994237</v>
      </c>
      <c r="G17" s="46">
        <f t="shared" si="2"/>
        <v>750.71616203111512</v>
      </c>
      <c r="I17" s="244"/>
      <c r="J17" s="246"/>
      <c r="K17" s="242">
        <v>0.2</v>
      </c>
      <c r="L17" s="253"/>
    </row>
    <row r="18" spans="1:14" ht="16.5" customHeight="1" thickBot="1" x14ac:dyDescent="0.25">
      <c r="A18" s="38">
        <v>23</v>
      </c>
      <c r="B18" s="46">
        <f t="shared" si="3"/>
        <v>1725.6397666945506</v>
      </c>
      <c r="C18" s="186">
        <f t="shared" si="4"/>
        <v>1145.3999999999999</v>
      </c>
      <c r="D18" s="128">
        <f t="shared" si="0"/>
        <v>553.41267317894233</v>
      </c>
      <c r="E18" s="38">
        <v>23</v>
      </c>
      <c r="F18" s="46">
        <f t="shared" si="1"/>
        <v>2243.3312190411148</v>
      </c>
      <c r="G18" s="46">
        <f t="shared" si="2"/>
        <v>719.43632194648546</v>
      </c>
      <c r="I18" s="250" t="s">
        <v>61</v>
      </c>
      <c r="J18" s="251"/>
      <c r="K18" s="131">
        <f>(K14+K16)</f>
        <v>32.07</v>
      </c>
      <c r="L18" s="127">
        <f>SUM(L14:L17)</f>
        <v>575.90189999999996</v>
      </c>
    </row>
    <row r="19" spans="1:14" ht="16.5" customHeight="1" x14ac:dyDescent="0.2">
      <c r="A19" s="38">
        <v>22</v>
      </c>
      <c r="B19" s="46">
        <f t="shared" si="3"/>
        <v>1650.6119507513092</v>
      </c>
      <c r="C19" s="186">
        <f t="shared" si="4"/>
        <v>1095.5999999999999</v>
      </c>
      <c r="D19" s="128">
        <f t="shared" si="0"/>
        <v>529.35125260594486</v>
      </c>
      <c r="E19" s="38">
        <v>22</v>
      </c>
      <c r="F19" s="46">
        <f t="shared" si="1"/>
        <v>2145.7950790828054</v>
      </c>
      <c r="G19" s="46">
        <f t="shared" si="2"/>
        <v>688.1564818618557</v>
      </c>
      <c r="I19" s="123"/>
      <c r="J19" s="124"/>
      <c r="K19" s="125"/>
      <c r="L19" s="126"/>
    </row>
    <row r="20" spans="1:14" ht="16.5" customHeight="1" x14ac:dyDescent="0.2">
      <c r="A20" s="38">
        <v>21</v>
      </c>
      <c r="B20" s="46">
        <f t="shared" si="3"/>
        <v>1575.5841348080678</v>
      </c>
      <c r="C20" s="186">
        <f t="shared" si="4"/>
        <v>1045.8</v>
      </c>
      <c r="D20" s="128">
        <f t="shared" si="0"/>
        <v>505.28983203294734</v>
      </c>
      <c r="E20" s="38">
        <v>21</v>
      </c>
      <c r="F20" s="46">
        <f t="shared" si="1"/>
        <v>2048.258939124496</v>
      </c>
      <c r="G20" s="46">
        <f t="shared" si="2"/>
        <v>656.87664177722581</v>
      </c>
      <c r="I20" s="249" t="s">
        <v>76</v>
      </c>
      <c r="J20" s="249"/>
      <c r="K20" s="249"/>
      <c r="L20" s="249"/>
      <c r="M20" s="249"/>
      <c r="N20" s="144"/>
    </row>
    <row r="21" spans="1:14" ht="16.5" customHeight="1" x14ac:dyDescent="0.2">
      <c r="A21" s="38">
        <v>20</v>
      </c>
      <c r="B21" s="46">
        <f t="shared" si="3"/>
        <v>1500.5563188648266</v>
      </c>
      <c r="C21" s="186">
        <f t="shared" si="4"/>
        <v>996</v>
      </c>
      <c r="D21" s="128">
        <f t="shared" si="0"/>
        <v>481.22841145994988</v>
      </c>
      <c r="E21" s="38">
        <v>20</v>
      </c>
      <c r="F21" s="46">
        <f t="shared" si="1"/>
        <v>1950.7227991661869</v>
      </c>
      <c r="G21" s="46">
        <f t="shared" si="2"/>
        <v>625.59680169259605</v>
      </c>
      <c r="I21" s="249"/>
      <c r="J21" s="249"/>
      <c r="K21" s="249"/>
      <c r="L21" s="249"/>
      <c r="M21" s="249"/>
      <c r="N21" s="144"/>
    </row>
    <row r="22" spans="1:14" ht="16.5" customHeight="1" thickBot="1" x14ac:dyDescent="0.25">
      <c r="A22" s="38">
        <v>19</v>
      </c>
      <c r="B22" s="46">
        <f t="shared" si="3"/>
        <v>1425.5285029215852</v>
      </c>
      <c r="C22" s="186">
        <f t="shared" si="4"/>
        <v>946.19999999999993</v>
      </c>
      <c r="D22" s="128">
        <f t="shared" si="0"/>
        <v>457.16699088695236</v>
      </c>
      <c r="E22" s="38">
        <v>19</v>
      </c>
      <c r="F22" s="46">
        <f t="shared" si="1"/>
        <v>1853.1866592078773</v>
      </c>
      <c r="G22" s="46">
        <f t="shared" si="2"/>
        <v>594.31696160796616</v>
      </c>
    </row>
    <row r="23" spans="1:14" ht="16.5" customHeight="1" x14ac:dyDescent="0.2">
      <c r="A23" s="38">
        <v>18</v>
      </c>
      <c r="B23" s="46">
        <f t="shared" si="3"/>
        <v>1350.5006869783438</v>
      </c>
      <c r="C23" s="186">
        <f t="shared" si="4"/>
        <v>896.40000000000009</v>
      </c>
      <c r="D23" s="128">
        <f t="shared" si="0"/>
        <v>433.10557031395484</v>
      </c>
      <c r="E23" s="38">
        <v>18</v>
      </c>
      <c r="F23" s="46">
        <f t="shared" si="1"/>
        <v>1755.6505192495681</v>
      </c>
      <c r="G23" s="46">
        <f t="shared" si="2"/>
        <v>563.03712152333651</v>
      </c>
      <c r="I23" s="218" t="s">
        <v>62</v>
      </c>
      <c r="J23" s="218"/>
      <c r="K23" s="219"/>
      <c r="L23" s="266">
        <v>0</v>
      </c>
    </row>
    <row r="24" spans="1:14" ht="16.5" customHeight="1" thickBot="1" x14ac:dyDescent="0.25">
      <c r="A24" s="38">
        <v>17</v>
      </c>
      <c r="B24" s="46">
        <f t="shared" si="3"/>
        <v>1275.4728710351026</v>
      </c>
      <c r="C24" s="186">
        <f t="shared" si="4"/>
        <v>846.5999999999998</v>
      </c>
      <c r="D24" s="128">
        <f t="shared" si="0"/>
        <v>409.04414974095738</v>
      </c>
      <c r="E24" s="38">
        <v>17</v>
      </c>
      <c r="F24" s="46">
        <f t="shared" si="1"/>
        <v>1658.1143792912587</v>
      </c>
      <c r="G24" s="46">
        <f t="shared" si="2"/>
        <v>531.75728143870663</v>
      </c>
      <c r="I24" s="218"/>
      <c r="J24" s="218"/>
      <c r="K24" s="219"/>
      <c r="L24" s="267"/>
    </row>
    <row r="25" spans="1:14" ht="16.5" customHeight="1" thickBot="1" x14ac:dyDescent="0.25">
      <c r="A25" s="38">
        <v>16</v>
      </c>
      <c r="B25" s="46">
        <f t="shared" si="3"/>
        <v>1200.4450550918614</v>
      </c>
      <c r="C25" s="186">
        <f t="shared" si="4"/>
        <v>796.8</v>
      </c>
      <c r="D25" s="128">
        <f t="shared" si="0"/>
        <v>384.98272916795992</v>
      </c>
      <c r="E25" s="38">
        <v>16</v>
      </c>
      <c r="F25" s="46">
        <f t="shared" si="1"/>
        <v>1560.5782393329494</v>
      </c>
      <c r="G25" s="46">
        <f t="shared" si="2"/>
        <v>500.47744135407686</v>
      </c>
    </row>
    <row r="26" spans="1:14" ht="16.5" customHeight="1" x14ac:dyDescent="0.2">
      <c r="A26" s="38">
        <v>15</v>
      </c>
      <c r="B26" s="46">
        <f t="shared" si="3"/>
        <v>1125.41723914862</v>
      </c>
      <c r="C26" s="186">
        <f t="shared" si="4"/>
        <v>746.99999999999989</v>
      </c>
      <c r="D26" s="128">
        <f t="shared" si="0"/>
        <v>360.9213085949624</v>
      </c>
      <c r="E26" s="38">
        <v>15</v>
      </c>
      <c r="F26" s="46">
        <f t="shared" si="1"/>
        <v>1463.04209937464</v>
      </c>
      <c r="G26" s="46">
        <f t="shared" si="2"/>
        <v>469.19760126944703</v>
      </c>
      <c r="I26" s="218" t="s">
        <v>67</v>
      </c>
      <c r="J26" s="218"/>
      <c r="K26" s="219"/>
      <c r="L26" s="216">
        <v>0</v>
      </c>
    </row>
    <row r="27" spans="1:14" ht="16.5" customHeight="1" thickBot="1" x14ac:dyDescent="0.25">
      <c r="A27" s="38">
        <v>14</v>
      </c>
      <c r="B27" s="46">
        <f t="shared" si="3"/>
        <v>1050.3894232053788</v>
      </c>
      <c r="C27" s="186">
        <f t="shared" si="4"/>
        <v>697.20000000000016</v>
      </c>
      <c r="D27" s="128">
        <f t="shared" si="0"/>
        <v>336.85988802196493</v>
      </c>
      <c r="E27" s="38">
        <v>14</v>
      </c>
      <c r="F27" s="46">
        <f t="shared" si="1"/>
        <v>1365.5059594163306</v>
      </c>
      <c r="G27" s="46">
        <f t="shared" si="2"/>
        <v>437.91776118481721</v>
      </c>
      <c r="I27" s="218"/>
      <c r="J27" s="218"/>
      <c r="K27" s="219"/>
      <c r="L27" s="217"/>
    </row>
    <row r="28" spans="1:14" ht="16.5" customHeight="1" thickBot="1" x14ac:dyDescent="0.25">
      <c r="A28" s="38">
        <v>13</v>
      </c>
      <c r="B28" s="46">
        <f t="shared" si="3"/>
        <v>975.36160726213734</v>
      </c>
      <c r="C28" s="186">
        <f t="shared" si="4"/>
        <v>647.4</v>
      </c>
      <c r="D28" s="128">
        <f t="shared" si="0"/>
        <v>312.79846744896741</v>
      </c>
      <c r="E28" s="38">
        <v>13</v>
      </c>
      <c r="F28" s="46">
        <f t="shared" si="1"/>
        <v>1267.9698194580212</v>
      </c>
      <c r="G28" s="46">
        <f t="shared" si="2"/>
        <v>406.63792110018738</v>
      </c>
    </row>
    <row r="29" spans="1:14" ht="16.5" customHeight="1" x14ac:dyDescent="0.2">
      <c r="A29" s="38">
        <v>12</v>
      </c>
      <c r="B29" s="46">
        <f t="shared" si="3"/>
        <v>900.33379131889592</v>
      </c>
      <c r="C29" s="186">
        <f t="shared" si="4"/>
        <v>597.59999999999991</v>
      </c>
      <c r="D29" s="128">
        <f t="shared" si="0"/>
        <v>288.7370468759699</v>
      </c>
      <c r="E29" s="38">
        <v>12</v>
      </c>
      <c r="F29" s="46">
        <f t="shared" si="1"/>
        <v>1170.4336794997118</v>
      </c>
      <c r="G29" s="46">
        <f t="shared" si="2"/>
        <v>375.35808101555756</v>
      </c>
      <c r="I29" s="220" t="s">
        <v>63</v>
      </c>
      <c r="J29" s="221"/>
      <c r="K29" s="221"/>
      <c r="L29" s="222"/>
    </row>
    <row r="30" spans="1:14" ht="16.5" customHeight="1" thickBot="1" x14ac:dyDescent="0.25">
      <c r="A30" s="38">
        <v>11</v>
      </c>
      <c r="B30" s="46">
        <f t="shared" si="3"/>
        <v>825.30597537565461</v>
      </c>
      <c r="C30" s="186">
        <f t="shared" si="4"/>
        <v>547.79999999999995</v>
      </c>
      <c r="D30" s="128">
        <f t="shared" si="0"/>
        <v>264.67562630297243</v>
      </c>
      <c r="E30" s="38">
        <v>11</v>
      </c>
      <c r="F30" s="46">
        <f t="shared" si="1"/>
        <v>1072.8975395414027</v>
      </c>
      <c r="G30" s="46">
        <f t="shared" si="2"/>
        <v>344.07824093092785</v>
      </c>
      <c r="I30" s="223"/>
      <c r="J30" s="224"/>
      <c r="K30" s="224"/>
      <c r="L30" s="225"/>
    </row>
    <row r="31" spans="1:14" ht="16.5" customHeight="1" thickBot="1" x14ac:dyDescent="0.25">
      <c r="A31" s="38">
        <v>10</v>
      </c>
      <c r="B31" s="46">
        <f t="shared" si="3"/>
        <v>750.2781594324133</v>
      </c>
      <c r="C31" s="186">
        <f t="shared" si="4"/>
        <v>498</v>
      </c>
      <c r="D31" s="128">
        <f t="shared" si="0"/>
        <v>240.61420572997494</v>
      </c>
      <c r="E31" s="38">
        <v>10</v>
      </c>
      <c r="F31" s="46">
        <f t="shared" si="1"/>
        <v>975.36139958309343</v>
      </c>
      <c r="G31" s="46">
        <f t="shared" si="2"/>
        <v>312.79840084629802</v>
      </c>
      <c r="I31" s="134" t="s">
        <v>68</v>
      </c>
      <c r="J31" s="132" t="s">
        <v>53</v>
      </c>
      <c r="K31" s="130" t="s">
        <v>69</v>
      </c>
      <c r="L31" s="116" t="s">
        <v>55</v>
      </c>
    </row>
    <row r="32" spans="1:14" ht="16.5" customHeight="1" x14ac:dyDescent="0.2">
      <c r="A32" s="38">
        <v>9</v>
      </c>
      <c r="B32" s="46">
        <f t="shared" si="3"/>
        <v>675.25034348917188</v>
      </c>
      <c r="C32" s="186">
        <f t="shared" si="4"/>
        <v>448.20000000000005</v>
      </c>
      <c r="D32" s="128">
        <f t="shared" si="0"/>
        <v>216.55278515697742</v>
      </c>
      <c r="E32" s="38">
        <v>9</v>
      </c>
      <c r="F32" s="46">
        <f t="shared" si="1"/>
        <v>877.82525962478405</v>
      </c>
      <c r="G32" s="46">
        <f t="shared" si="2"/>
        <v>281.51856076166825</v>
      </c>
      <c r="I32" s="259">
        <f>((L23/37.5*7.5*5)/7)*30*$D$43</f>
        <v>0</v>
      </c>
      <c r="J32" s="261">
        <f>IF(L26&lt;I32,I32,L26)</f>
        <v>0</v>
      </c>
      <c r="K32" s="263">
        <v>32.07</v>
      </c>
      <c r="L32" s="252">
        <f>J32*K32%</f>
        <v>0</v>
      </c>
    </row>
    <row r="33" spans="1:14" ht="16.5" customHeight="1" thickBot="1" x14ac:dyDescent="0.25">
      <c r="A33" s="38">
        <v>8</v>
      </c>
      <c r="B33" s="46">
        <f t="shared" si="3"/>
        <v>600.22252754593069</v>
      </c>
      <c r="C33" s="186">
        <f t="shared" si="4"/>
        <v>398.4</v>
      </c>
      <c r="D33" s="128">
        <f t="shared" si="0"/>
        <v>192.49136458397996</v>
      </c>
      <c r="E33" s="38">
        <v>8</v>
      </c>
      <c r="F33" s="46">
        <f t="shared" si="1"/>
        <v>780.28911966647468</v>
      </c>
      <c r="G33" s="46">
        <f t="shared" si="2"/>
        <v>250.23872067703843</v>
      </c>
      <c r="I33" s="260"/>
      <c r="J33" s="262"/>
      <c r="K33" s="264"/>
      <c r="L33" s="265"/>
    </row>
    <row r="34" spans="1:14" ht="16.5" customHeight="1" thickBot="1" x14ac:dyDescent="0.25">
      <c r="A34" s="38">
        <v>7</v>
      </c>
      <c r="B34" s="46">
        <f t="shared" si="3"/>
        <v>525.19471160268938</v>
      </c>
      <c r="C34" s="186">
        <f t="shared" si="4"/>
        <v>348.60000000000008</v>
      </c>
      <c r="D34" s="128">
        <f t="shared" si="0"/>
        <v>168.42994401098247</v>
      </c>
      <c r="E34" s="38">
        <v>7</v>
      </c>
      <c r="F34" s="46">
        <f t="shared" si="1"/>
        <v>682.7529797081653</v>
      </c>
      <c r="G34" s="46">
        <f t="shared" si="2"/>
        <v>218.9588805924086</v>
      </c>
      <c r="I34" s="254" t="s">
        <v>64</v>
      </c>
      <c r="J34" s="255"/>
      <c r="K34" s="256"/>
      <c r="L34" s="127">
        <f>SUM(L32)</f>
        <v>0</v>
      </c>
    </row>
    <row r="35" spans="1:14" ht="16.5" customHeight="1" x14ac:dyDescent="0.2">
      <c r="A35" s="38">
        <v>6</v>
      </c>
      <c r="B35" s="46">
        <f t="shared" si="3"/>
        <v>450.16689565944796</v>
      </c>
      <c r="C35" s="186">
        <f t="shared" si="4"/>
        <v>298.79999999999995</v>
      </c>
      <c r="D35" s="128">
        <f t="shared" si="0"/>
        <v>144.36852343798495</v>
      </c>
      <c r="E35" s="38">
        <v>6</v>
      </c>
      <c r="F35" s="46">
        <f t="shared" si="1"/>
        <v>585.21683974985592</v>
      </c>
      <c r="G35" s="46">
        <f t="shared" si="2"/>
        <v>187.67904050777878</v>
      </c>
      <c r="N35" s="133"/>
    </row>
    <row r="36" spans="1:14" ht="16.5" customHeight="1" x14ac:dyDescent="0.2">
      <c r="A36" s="38">
        <v>5</v>
      </c>
      <c r="B36" s="46">
        <f t="shared" si="3"/>
        <v>375.13907971620665</v>
      </c>
      <c r="C36" s="186">
        <f t="shared" si="4"/>
        <v>249</v>
      </c>
      <c r="D36" s="128">
        <f t="shared" si="0"/>
        <v>120.30710286498747</v>
      </c>
      <c r="E36" s="38">
        <v>5</v>
      </c>
      <c r="F36" s="46">
        <f t="shared" si="1"/>
        <v>487.68069979154672</v>
      </c>
      <c r="G36" s="46">
        <f t="shared" si="2"/>
        <v>156.39920042314901</v>
      </c>
      <c r="I36" s="257" t="s">
        <v>66</v>
      </c>
      <c r="J36" s="257"/>
      <c r="K36" s="257"/>
      <c r="L36" s="257"/>
      <c r="M36" s="258" t="s">
        <v>98</v>
      </c>
      <c r="N36" s="133"/>
    </row>
    <row r="37" spans="1:14" ht="16.5" customHeight="1" x14ac:dyDescent="0.2">
      <c r="A37" s="38">
        <v>4</v>
      </c>
      <c r="B37" s="46">
        <f t="shared" si="3"/>
        <v>300.11126377296534</v>
      </c>
      <c r="C37" s="186">
        <f t="shared" si="4"/>
        <v>199.2</v>
      </c>
      <c r="D37" s="128">
        <f t="shared" si="0"/>
        <v>96.245682291989979</v>
      </c>
      <c r="E37" s="38">
        <v>4</v>
      </c>
      <c r="F37" s="46">
        <f t="shared" si="1"/>
        <v>390.14455983323734</v>
      </c>
      <c r="G37" s="46">
        <f t="shared" si="2"/>
        <v>125.11936033851921</v>
      </c>
      <c r="I37" s="257"/>
      <c r="J37" s="257"/>
      <c r="K37" s="257"/>
      <c r="L37" s="257"/>
      <c r="M37" s="258"/>
      <c r="N37" s="133"/>
    </row>
    <row r="38" spans="1:14" ht="16.5" customHeight="1" x14ac:dyDescent="0.2">
      <c r="A38" s="38">
        <v>3</v>
      </c>
      <c r="B38" s="46">
        <f t="shared" si="3"/>
        <v>225.08344782972398</v>
      </c>
      <c r="C38" s="186">
        <f t="shared" si="4"/>
        <v>149.39999999999998</v>
      </c>
      <c r="D38" s="128">
        <f t="shared" si="0"/>
        <v>72.184261718992474</v>
      </c>
      <c r="E38" s="38">
        <v>3</v>
      </c>
      <c r="F38" s="46">
        <f t="shared" si="1"/>
        <v>292.60841987492796</v>
      </c>
      <c r="G38" s="46">
        <f t="shared" si="2"/>
        <v>93.83952025388939</v>
      </c>
    </row>
    <row r="39" spans="1:14" ht="16.5" customHeight="1" x14ac:dyDescent="0.2">
      <c r="A39" s="38">
        <v>2</v>
      </c>
      <c r="B39" s="46">
        <f t="shared" si="3"/>
        <v>150.05563188648267</v>
      </c>
      <c r="C39" s="186">
        <f t="shared" si="4"/>
        <v>99.6</v>
      </c>
      <c r="D39" s="128">
        <f t="shared" si="0"/>
        <v>48.12284114599499</v>
      </c>
      <c r="E39" s="38">
        <v>2</v>
      </c>
      <c r="F39" s="46">
        <f t="shared" si="1"/>
        <v>195.07227991661867</v>
      </c>
      <c r="G39" s="46">
        <f t="shared" si="2"/>
        <v>62.559680169259607</v>
      </c>
    </row>
    <row r="40" spans="1:14" ht="16.5" customHeight="1" x14ac:dyDescent="0.2">
      <c r="A40" s="39">
        <v>1</v>
      </c>
      <c r="B40" s="195">
        <f t="shared" si="3"/>
        <v>75.027815943241336</v>
      </c>
      <c r="C40" s="196">
        <f t="shared" si="4"/>
        <v>49.8</v>
      </c>
      <c r="D40" s="197">
        <f t="shared" si="0"/>
        <v>24.061420572997495</v>
      </c>
      <c r="E40" s="39">
        <v>1</v>
      </c>
      <c r="F40" s="195">
        <f t="shared" si="1"/>
        <v>97.536139958309334</v>
      </c>
      <c r="G40" s="195">
        <f t="shared" si="2"/>
        <v>31.279840084629804</v>
      </c>
    </row>
    <row r="41" spans="1:14" hidden="1" x14ac:dyDescent="0.2">
      <c r="D41" s="194"/>
    </row>
    <row r="42" spans="1:14" ht="13.5" hidden="1" thickBot="1" x14ac:dyDescent="0.25"/>
    <row r="43" spans="1:14" ht="39" hidden="1" thickBot="1" x14ac:dyDescent="0.25">
      <c r="B43" s="191" t="s">
        <v>13</v>
      </c>
      <c r="C43" s="192"/>
      <c r="D43" s="193">
        <v>11.62</v>
      </c>
      <c r="E43" s="17"/>
    </row>
    <row r="44" spans="1:14" hidden="1" x14ac:dyDescent="0.2"/>
  </sheetData>
  <sheetProtection algorithmName="SHA-512" hashValue="BDmbI3E42D0cVSJjvyNr96xclKBax0qlHl0YXQepQhxzNVo4zMsg9q4VUOjmR7d9lGFXwyS9I1SzmTFq4Bfv/Q==" saltValue="f2ZRo6V10LLe42TZWUuYqg==" spinCount="100000" sheet="1" objects="1" scenarios="1"/>
  <protectedRanges>
    <protectedRange sqref="M36" name="CALCULO RC"/>
    <protectedRange sqref="L8" name="RET TC_1"/>
    <protectedRange sqref="L26" name="RET TC_2"/>
    <protectedRange sqref="L23" name="DED_1"/>
  </protectedRanges>
  <mergeCells count="36">
    <mergeCell ref="I26:K27"/>
    <mergeCell ref="L23:L24"/>
    <mergeCell ref="I23:K24"/>
    <mergeCell ref="L26:L27"/>
    <mergeCell ref="I29:L30"/>
    <mergeCell ref="I34:K34"/>
    <mergeCell ref="I36:L37"/>
    <mergeCell ref="M36:M37"/>
    <mergeCell ref="I32:I33"/>
    <mergeCell ref="J32:J33"/>
    <mergeCell ref="K32:K33"/>
    <mergeCell ref="L32:L33"/>
    <mergeCell ref="K16:K17"/>
    <mergeCell ref="I16:I17"/>
    <mergeCell ref="J16:J17"/>
    <mergeCell ref="L14:L15"/>
    <mergeCell ref="I20:M21"/>
    <mergeCell ref="I18:J18"/>
    <mergeCell ref="J14:J15"/>
    <mergeCell ref="K14:K15"/>
    <mergeCell ref="L16:L17"/>
    <mergeCell ref="B2:D2"/>
    <mergeCell ref="F2:G2"/>
    <mergeCell ref="L4:L5"/>
    <mergeCell ref="M4:M5"/>
    <mergeCell ref="A1:G1"/>
    <mergeCell ref="I2:K2"/>
    <mergeCell ref="I4:I5"/>
    <mergeCell ref="J4:J5"/>
    <mergeCell ref="K4:K5"/>
    <mergeCell ref="I1:M1"/>
    <mergeCell ref="L8:L9"/>
    <mergeCell ref="I8:K9"/>
    <mergeCell ref="I11:L12"/>
    <mergeCell ref="I14:I15"/>
    <mergeCell ref="L2:M2"/>
  </mergeCells>
  <phoneticPr fontId="3" type="noConversion"/>
  <hyperlinks>
    <hyperlink ref="M36:M37" r:id="rId1" display="CALCULO RC E INDEMNIZACION" xr:uid="{468CC840-2BB4-41C5-9636-6417891AB68F}"/>
  </hyperlinks>
  <pageMargins left="0.94488188976377963" right="0.86614173228346458" top="9.46969696969697E-3" bottom="0.39370078740157483" header="0" footer="0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3"/>
  <sheetViews>
    <sheetView zoomScale="97" zoomScaleNormal="97" workbookViewId="0">
      <selection activeCell="I1" sqref="I1:M1"/>
    </sheetView>
  </sheetViews>
  <sheetFormatPr baseColWidth="10" defaultColWidth="11.5703125" defaultRowHeight="12.75" x14ac:dyDescent="0.2"/>
  <cols>
    <col min="1" max="1" width="18.42578125" style="33" customWidth="1"/>
    <col min="2" max="2" width="24.7109375" style="50" customWidth="1"/>
    <col min="3" max="3" width="16.7109375" style="51" hidden="1" customWidth="1"/>
    <col min="4" max="4" width="18.42578125" style="52" customWidth="1"/>
    <col min="5" max="5" width="18.42578125" style="8" customWidth="1"/>
    <col min="6" max="6" width="24.7109375" style="49" customWidth="1"/>
    <col min="7" max="7" width="18.42578125" style="49" customWidth="1"/>
    <col min="8" max="8" width="11.5703125" style="8"/>
    <col min="9" max="9" width="19.28515625" style="19" customWidth="1"/>
    <col min="10" max="10" width="17" style="8" bestFit="1" customWidth="1"/>
    <col min="11" max="11" width="19.7109375" style="8" bestFit="1" customWidth="1"/>
    <col min="12" max="12" width="16.28515625" style="8" bestFit="1" customWidth="1"/>
    <col min="13" max="13" width="16.5703125" style="8" customWidth="1"/>
    <col min="14" max="16384" width="11.5703125" style="8"/>
  </cols>
  <sheetData>
    <row r="1" spans="1:14" ht="45" customHeight="1" x14ac:dyDescent="0.2">
      <c r="A1" s="233" t="s">
        <v>108</v>
      </c>
      <c r="B1" s="234"/>
      <c r="C1" s="234"/>
      <c r="D1" s="234"/>
      <c r="E1" s="234"/>
      <c r="F1" s="234"/>
      <c r="G1" s="234"/>
      <c r="I1" s="238" t="s">
        <v>113</v>
      </c>
      <c r="J1" s="239"/>
      <c r="K1" s="239"/>
      <c r="L1" s="239"/>
      <c r="M1" s="240"/>
    </row>
    <row r="2" spans="1:14" s="47" customFormat="1" ht="24" customHeight="1" x14ac:dyDescent="0.2">
      <c r="A2" s="48"/>
      <c r="B2" s="268" t="s">
        <v>45</v>
      </c>
      <c r="C2" s="268"/>
      <c r="D2" s="269"/>
      <c r="E2" s="57"/>
      <c r="F2" s="270" t="s">
        <v>46</v>
      </c>
      <c r="G2" s="271"/>
      <c r="I2" s="228" t="s">
        <v>48</v>
      </c>
      <c r="J2" s="228"/>
      <c r="K2" s="228"/>
      <c r="L2" s="228" t="s">
        <v>52</v>
      </c>
      <c r="M2" s="228"/>
      <c r="N2" s="36"/>
    </row>
    <row r="3" spans="1:14" s="27" customFormat="1" ht="38.25" x14ac:dyDescent="0.2">
      <c r="A3" s="40" t="s">
        <v>43</v>
      </c>
      <c r="B3" s="61" t="s">
        <v>44</v>
      </c>
      <c r="C3" s="62" t="s">
        <v>14</v>
      </c>
      <c r="D3" s="63" t="s">
        <v>106</v>
      </c>
      <c r="E3" s="40" t="s">
        <v>43</v>
      </c>
      <c r="F3" s="64" t="s">
        <v>44</v>
      </c>
      <c r="G3" s="63" t="s">
        <v>107</v>
      </c>
      <c r="I3" s="121" t="s">
        <v>47</v>
      </c>
      <c r="J3" s="121" t="s">
        <v>58</v>
      </c>
      <c r="K3" s="121" t="s">
        <v>59</v>
      </c>
      <c r="L3" s="122" t="s">
        <v>50</v>
      </c>
      <c r="M3" s="121" t="s">
        <v>51</v>
      </c>
    </row>
    <row r="4" spans="1:14" ht="15" customHeight="1" x14ac:dyDescent="0.2">
      <c r="A4" s="58">
        <v>37.5</v>
      </c>
      <c r="B4" s="59">
        <f>PARAMETROS!B23</f>
        <v>2311.1250892974003</v>
      </c>
      <c r="C4" s="60"/>
      <c r="D4" s="59"/>
      <c r="E4" s="58">
        <v>37.5</v>
      </c>
      <c r="F4" s="59">
        <f>PARAMETROS!C23</f>
        <v>3004.4615776913997</v>
      </c>
      <c r="G4" s="59">
        <f>IF(F4&gt;=$K$4,$K$4*$K$18%,F4*$K$18%)</f>
        <v>963.53082796563183</v>
      </c>
      <c r="I4" s="235">
        <v>1</v>
      </c>
      <c r="J4" s="236">
        <v>1929</v>
      </c>
      <c r="K4" s="236">
        <v>4909.5</v>
      </c>
      <c r="L4" s="231">
        <v>1381.2</v>
      </c>
      <c r="M4" s="231">
        <v>4909.5</v>
      </c>
    </row>
    <row r="5" spans="1:14" ht="15" customHeight="1" x14ac:dyDescent="0.2">
      <c r="A5" s="38">
        <v>36</v>
      </c>
      <c r="B5" s="53">
        <f>PRODUCT(B$4,A5)/A$4</f>
        <v>2218.6800857255043</v>
      </c>
      <c r="C5" s="54">
        <f t="shared" ref="C5:C40" si="0">(A5/$A$4*7.5*5)/7*30*$C$43</f>
        <v>1792.8000000000002</v>
      </c>
      <c r="D5" s="53">
        <f>IF(B5&lt;C5,C5*$K$18%,B5*$K$18%)</f>
        <v>711.53070349216921</v>
      </c>
      <c r="E5" s="38">
        <v>36</v>
      </c>
      <c r="F5" s="53">
        <f>PRODUCT(F$4,E5)/E$4</f>
        <v>2884.2831145837436</v>
      </c>
      <c r="G5" s="59">
        <f t="shared" ref="G5:G40" si="1">IF(F5&gt;=$K$4,$K$4*$K$18%,F5*$K$18%)</f>
        <v>924.98959484700652</v>
      </c>
      <c r="I5" s="235"/>
      <c r="J5" s="237"/>
      <c r="K5" s="237"/>
      <c r="L5" s="232"/>
      <c r="M5" s="232"/>
    </row>
    <row r="6" spans="1:14" ht="15" customHeight="1" x14ac:dyDescent="0.2">
      <c r="A6" s="38">
        <v>35</v>
      </c>
      <c r="B6" s="53">
        <f>PRODUCT(B$4,A6)/A$4</f>
        <v>2157.0500833442402</v>
      </c>
      <c r="C6" s="54">
        <f t="shared" si="0"/>
        <v>1742.9999999999998</v>
      </c>
      <c r="D6" s="53">
        <f t="shared" ref="D6:D40" si="2">IF(B6&lt;C6,C6*$K$18%,B6*$K$18%)</f>
        <v>691.76596172849781</v>
      </c>
      <c r="E6" s="38">
        <v>35</v>
      </c>
      <c r="F6" s="53">
        <f>PRODUCT(F$4,E6)/E$4</f>
        <v>2804.1641391786397</v>
      </c>
      <c r="G6" s="59">
        <f t="shared" si="1"/>
        <v>899.29543943458975</v>
      </c>
      <c r="I6" s="35"/>
      <c r="L6" s="112"/>
    </row>
    <row r="7" spans="1:14" ht="15" customHeight="1" thickBot="1" x14ac:dyDescent="0.25">
      <c r="A7" s="38">
        <v>34</v>
      </c>
      <c r="B7" s="53">
        <f t="shared" ref="B7:B40" si="3">PRODUCT(B$4,A7)/A$4</f>
        <v>2095.420080962976</v>
      </c>
      <c r="C7" s="54">
        <f t="shared" si="0"/>
        <v>1693.1999999999996</v>
      </c>
      <c r="D7" s="53">
        <f t="shared" si="2"/>
        <v>672.00121996482642</v>
      </c>
      <c r="E7" s="38">
        <v>34</v>
      </c>
      <c r="F7" s="53">
        <f t="shared" ref="F7:F40" si="4">PRODUCT(F$4,E7)/E$4</f>
        <v>2724.0451637735359</v>
      </c>
      <c r="G7" s="59">
        <f t="shared" si="1"/>
        <v>873.60128402217288</v>
      </c>
      <c r="I7" s="35"/>
      <c r="J7" s="19"/>
      <c r="L7" s="112"/>
    </row>
    <row r="8" spans="1:14" ht="15" customHeight="1" x14ac:dyDescent="0.2">
      <c r="A8" s="38">
        <v>33</v>
      </c>
      <c r="B8" s="53">
        <f t="shared" si="3"/>
        <v>2033.7900785817124</v>
      </c>
      <c r="C8" s="54">
        <f t="shared" si="0"/>
        <v>1643.4</v>
      </c>
      <c r="D8" s="53">
        <f t="shared" si="2"/>
        <v>652.23647820115514</v>
      </c>
      <c r="E8" s="38">
        <v>33</v>
      </c>
      <c r="F8" s="53">
        <f t="shared" si="4"/>
        <v>2643.9261883684317</v>
      </c>
      <c r="G8" s="59">
        <f t="shared" si="1"/>
        <v>847.907128609756</v>
      </c>
      <c r="I8" s="218" t="s">
        <v>89</v>
      </c>
      <c r="J8" s="218"/>
      <c r="K8" s="219"/>
      <c r="L8" s="216">
        <v>0</v>
      </c>
    </row>
    <row r="9" spans="1:14" ht="15" customHeight="1" thickBot="1" x14ac:dyDescent="0.25">
      <c r="A9" s="38">
        <v>32</v>
      </c>
      <c r="B9" s="53">
        <f t="shared" si="3"/>
        <v>1972.1600762004482</v>
      </c>
      <c r="C9" s="54">
        <f t="shared" si="0"/>
        <v>1593.6</v>
      </c>
      <c r="D9" s="53">
        <f t="shared" si="2"/>
        <v>632.47173643748374</v>
      </c>
      <c r="E9" s="38">
        <v>32</v>
      </c>
      <c r="F9" s="53">
        <f t="shared" si="4"/>
        <v>2563.8072129633279</v>
      </c>
      <c r="G9" s="59">
        <f t="shared" si="1"/>
        <v>822.21297319733924</v>
      </c>
      <c r="I9" s="218"/>
      <c r="J9" s="218"/>
      <c r="K9" s="219"/>
      <c r="L9" s="217"/>
    </row>
    <row r="10" spans="1:14" ht="15" customHeight="1" thickBot="1" x14ac:dyDescent="0.25">
      <c r="A10" s="38">
        <v>31</v>
      </c>
      <c r="B10" s="53">
        <f t="shared" si="3"/>
        <v>1910.5300738191841</v>
      </c>
      <c r="C10" s="54">
        <f t="shared" si="0"/>
        <v>1543.8</v>
      </c>
      <c r="D10" s="53">
        <f t="shared" si="2"/>
        <v>612.70699467381235</v>
      </c>
      <c r="E10" s="38">
        <v>31</v>
      </c>
      <c r="F10" s="53">
        <f t="shared" si="4"/>
        <v>2483.6882375582236</v>
      </c>
      <c r="G10" s="59">
        <f t="shared" si="1"/>
        <v>796.51881778492225</v>
      </c>
      <c r="I10" s="117"/>
      <c r="J10" s="118"/>
      <c r="K10" s="119"/>
      <c r="L10" s="120"/>
    </row>
    <row r="11" spans="1:14" ht="15" customHeight="1" x14ac:dyDescent="0.2">
      <c r="A11" s="38">
        <v>30</v>
      </c>
      <c r="B11" s="53">
        <f t="shared" si="3"/>
        <v>1848.9000714379204</v>
      </c>
      <c r="C11" s="54">
        <f t="shared" si="0"/>
        <v>1493.9999999999998</v>
      </c>
      <c r="D11" s="53">
        <f t="shared" si="2"/>
        <v>592.94225291014106</v>
      </c>
      <c r="E11" s="38">
        <v>30</v>
      </c>
      <c r="F11" s="53">
        <f t="shared" si="4"/>
        <v>2403.5692621531198</v>
      </c>
      <c r="G11" s="59">
        <f t="shared" si="1"/>
        <v>770.82466237250549</v>
      </c>
      <c r="I11" s="220" t="s">
        <v>60</v>
      </c>
      <c r="J11" s="221"/>
      <c r="K11" s="221"/>
      <c r="L11" s="222"/>
    </row>
    <row r="12" spans="1:14" ht="15" customHeight="1" thickBot="1" x14ac:dyDescent="0.25">
      <c r="A12" s="38">
        <v>29</v>
      </c>
      <c r="B12" s="53">
        <f t="shared" si="3"/>
        <v>1787.2700690566562</v>
      </c>
      <c r="C12" s="54">
        <f t="shared" si="0"/>
        <v>1444.2</v>
      </c>
      <c r="D12" s="53">
        <f t="shared" si="2"/>
        <v>573.17751114646967</v>
      </c>
      <c r="E12" s="38">
        <v>29</v>
      </c>
      <c r="F12" s="53">
        <f t="shared" si="4"/>
        <v>2323.450286748016</v>
      </c>
      <c r="G12" s="59">
        <f t="shared" si="1"/>
        <v>745.13050696008872</v>
      </c>
      <c r="I12" s="223"/>
      <c r="J12" s="224"/>
      <c r="K12" s="224"/>
      <c r="L12" s="225"/>
    </row>
    <row r="13" spans="1:14" ht="15" customHeight="1" thickBot="1" x14ac:dyDescent="0.25">
      <c r="A13" s="38">
        <v>28</v>
      </c>
      <c r="B13" s="53">
        <f t="shared" si="3"/>
        <v>1725.6400666753923</v>
      </c>
      <c r="C13" s="54">
        <f t="shared" si="0"/>
        <v>1394.4000000000003</v>
      </c>
      <c r="D13" s="53">
        <f t="shared" si="2"/>
        <v>553.41276938279827</v>
      </c>
      <c r="E13" s="38">
        <v>28</v>
      </c>
      <c r="F13" s="53">
        <f t="shared" si="4"/>
        <v>2243.3313113429117</v>
      </c>
      <c r="G13" s="59">
        <f t="shared" si="1"/>
        <v>719.43635154767173</v>
      </c>
      <c r="I13" s="114"/>
      <c r="J13" s="115" t="s">
        <v>53</v>
      </c>
      <c r="K13" s="130" t="s">
        <v>54</v>
      </c>
      <c r="L13" s="116" t="s">
        <v>55</v>
      </c>
    </row>
    <row r="14" spans="1:14" ht="15" customHeight="1" x14ac:dyDescent="0.2">
      <c r="A14" s="38">
        <v>27</v>
      </c>
      <c r="B14" s="53">
        <f t="shared" si="3"/>
        <v>1664.0100642941284</v>
      </c>
      <c r="C14" s="54">
        <f t="shared" si="0"/>
        <v>1344.6</v>
      </c>
      <c r="D14" s="53">
        <f t="shared" si="2"/>
        <v>533.64802761912699</v>
      </c>
      <c r="E14" s="38">
        <v>27</v>
      </c>
      <c r="F14" s="53">
        <f t="shared" si="4"/>
        <v>2163.2123359378079</v>
      </c>
      <c r="G14" s="59">
        <f t="shared" si="1"/>
        <v>693.74219613525497</v>
      </c>
      <c r="I14" s="226" t="s">
        <v>56</v>
      </c>
      <c r="J14" s="245">
        <f>IF(L8&gt;=J4,L8,J4)</f>
        <v>1929</v>
      </c>
      <c r="K14" s="241">
        <v>24.27</v>
      </c>
      <c r="L14" s="247">
        <f>J14*K14%</f>
        <v>468.16829999999999</v>
      </c>
    </row>
    <row r="15" spans="1:14" ht="15" customHeight="1" thickBot="1" x14ac:dyDescent="0.25">
      <c r="A15" s="38">
        <v>26</v>
      </c>
      <c r="B15" s="53">
        <f t="shared" si="3"/>
        <v>1602.3800619128642</v>
      </c>
      <c r="C15" s="54">
        <f t="shared" si="0"/>
        <v>1294.8</v>
      </c>
      <c r="D15" s="53">
        <f t="shared" si="2"/>
        <v>513.88328585545548</v>
      </c>
      <c r="E15" s="38">
        <v>26</v>
      </c>
      <c r="F15" s="53">
        <f t="shared" si="4"/>
        <v>2083.0933605327036</v>
      </c>
      <c r="G15" s="59">
        <f t="shared" si="1"/>
        <v>668.04804072283798</v>
      </c>
      <c r="I15" s="227"/>
      <c r="J15" s="246"/>
      <c r="K15" s="242"/>
      <c r="L15" s="248"/>
    </row>
    <row r="16" spans="1:14" ht="15" customHeight="1" x14ac:dyDescent="0.2">
      <c r="A16" s="38">
        <v>25</v>
      </c>
      <c r="B16" s="53">
        <f t="shared" si="3"/>
        <v>1540.7500595316001</v>
      </c>
      <c r="C16" s="54">
        <f t="shared" si="0"/>
        <v>1245</v>
      </c>
      <c r="D16" s="53">
        <f t="shared" si="2"/>
        <v>494.11854409178414</v>
      </c>
      <c r="E16" s="38">
        <v>25</v>
      </c>
      <c r="F16" s="53">
        <f t="shared" si="4"/>
        <v>2002.9743851275998</v>
      </c>
      <c r="G16" s="59">
        <f t="shared" si="1"/>
        <v>642.35388531042122</v>
      </c>
      <c r="I16" s="243" t="s">
        <v>57</v>
      </c>
      <c r="J16" s="245">
        <f>IF(L8&gt;=L4,L8,L4)</f>
        <v>1381.2</v>
      </c>
      <c r="K16" s="241">
        <v>7.8</v>
      </c>
      <c r="L16" s="252">
        <f>J16*K16%</f>
        <v>107.73360000000001</v>
      </c>
    </row>
    <row r="17" spans="1:14" ht="15" customHeight="1" thickBot="1" x14ac:dyDescent="0.25">
      <c r="A17" s="38">
        <v>24</v>
      </c>
      <c r="B17" s="53">
        <f t="shared" si="3"/>
        <v>1479.1200571503362</v>
      </c>
      <c r="C17" s="54">
        <f t="shared" si="0"/>
        <v>1195.1999999999998</v>
      </c>
      <c r="D17" s="53">
        <f t="shared" si="2"/>
        <v>474.35380232811281</v>
      </c>
      <c r="E17" s="38">
        <v>24</v>
      </c>
      <c r="F17" s="53">
        <f t="shared" si="4"/>
        <v>1922.8554097224958</v>
      </c>
      <c r="G17" s="59">
        <f t="shared" si="1"/>
        <v>616.65972989800434</v>
      </c>
      <c r="I17" s="244"/>
      <c r="J17" s="246"/>
      <c r="K17" s="242">
        <v>0.2</v>
      </c>
      <c r="L17" s="253"/>
    </row>
    <row r="18" spans="1:14" ht="15" customHeight="1" thickBot="1" x14ac:dyDescent="0.25">
      <c r="A18" s="38">
        <v>23</v>
      </c>
      <c r="B18" s="53">
        <f t="shared" si="3"/>
        <v>1417.4900547690722</v>
      </c>
      <c r="C18" s="54">
        <f t="shared" si="0"/>
        <v>1145.3999999999999</v>
      </c>
      <c r="D18" s="53">
        <f t="shared" si="2"/>
        <v>454.58906056444147</v>
      </c>
      <c r="E18" s="38">
        <v>23</v>
      </c>
      <c r="F18" s="53">
        <f t="shared" si="4"/>
        <v>1842.7364343173917</v>
      </c>
      <c r="G18" s="59">
        <f t="shared" si="1"/>
        <v>590.96557448558747</v>
      </c>
      <c r="I18" s="250" t="s">
        <v>61</v>
      </c>
      <c r="J18" s="251"/>
      <c r="K18" s="131">
        <f>(K14+K16)</f>
        <v>32.07</v>
      </c>
      <c r="L18" s="127">
        <f>SUM(L14:L17)</f>
        <v>575.90189999999996</v>
      </c>
    </row>
    <row r="19" spans="1:14" ht="15" customHeight="1" x14ac:dyDescent="0.2">
      <c r="A19" s="38">
        <v>22</v>
      </c>
      <c r="B19" s="53">
        <f t="shared" si="3"/>
        <v>1355.8600523878083</v>
      </c>
      <c r="C19" s="54">
        <f t="shared" si="0"/>
        <v>1095.5999999999999</v>
      </c>
      <c r="D19" s="53">
        <f t="shared" si="2"/>
        <v>434.82431880077013</v>
      </c>
      <c r="E19" s="38">
        <v>22</v>
      </c>
      <c r="F19" s="53">
        <f t="shared" si="4"/>
        <v>1762.6174589122879</v>
      </c>
      <c r="G19" s="59">
        <f t="shared" si="1"/>
        <v>565.2714190731707</v>
      </c>
      <c r="I19" s="123"/>
      <c r="J19" s="124"/>
      <c r="K19" s="125"/>
      <c r="L19" s="126"/>
    </row>
    <row r="20" spans="1:14" ht="15" customHeight="1" x14ac:dyDescent="0.2">
      <c r="A20" s="38">
        <v>21</v>
      </c>
      <c r="B20" s="53">
        <f t="shared" si="3"/>
        <v>1294.2300500065442</v>
      </c>
      <c r="C20" s="54">
        <f t="shared" si="0"/>
        <v>1045.8</v>
      </c>
      <c r="D20" s="53">
        <f t="shared" si="2"/>
        <v>415.05957703709868</v>
      </c>
      <c r="E20" s="38">
        <v>21</v>
      </c>
      <c r="F20" s="53">
        <f t="shared" si="4"/>
        <v>1682.4984835071839</v>
      </c>
      <c r="G20" s="59">
        <f t="shared" si="1"/>
        <v>539.57726366075383</v>
      </c>
      <c r="I20" s="272" t="s">
        <v>76</v>
      </c>
      <c r="J20" s="272"/>
      <c r="K20" s="272"/>
      <c r="L20" s="272"/>
      <c r="M20" s="272"/>
      <c r="N20" s="272"/>
    </row>
    <row r="21" spans="1:14" ht="15" customHeight="1" x14ac:dyDescent="0.2">
      <c r="A21" s="38">
        <v>20</v>
      </c>
      <c r="B21" s="53">
        <f t="shared" si="3"/>
        <v>1232.6000476252802</v>
      </c>
      <c r="C21" s="54">
        <f t="shared" si="0"/>
        <v>996</v>
      </c>
      <c r="D21" s="53">
        <f t="shared" si="2"/>
        <v>395.29483527342734</v>
      </c>
      <c r="E21" s="38">
        <v>20</v>
      </c>
      <c r="F21" s="53">
        <f t="shared" si="4"/>
        <v>1602.3795081020799</v>
      </c>
      <c r="G21" s="59">
        <f t="shared" si="1"/>
        <v>513.88310824833695</v>
      </c>
      <c r="I21" s="272"/>
      <c r="J21" s="272"/>
      <c r="K21" s="272"/>
      <c r="L21" s="272"/>
      <c r="M21" s="272"/>
      <c r="N21" s="272"/>
    </row>
    <row r="22" spans="1:14" ht="15" customHeight="1" thickBot="1" x14ac:dyDescent="0.25">
      <c r="A22" s="38">
        <v>19</v>
      </c>
      <c r="B22" s="53">
        <f t="shared" si="3"/>
        <v>1170.9700452440163</v>
      </c>
      <c r="C22" s="54">
        <f t="shared" si="0"/>
        <v>946.19999999999993</v>
      </c>
      <c r="D22" s="53">
        <f t="shared" si="2"/>
        <v>375.530093509756</v>
      </c>
      <c r="E22" s="38">
        <v>19</v>
      </c>
      <c r="F22" s="53">
        <f t="shared" si="4"/>
        <v>1522.2605326969758</v>
      </c>
      <c r="G22" s="59">
        <f t="shared" si="1"/>
        <v>488.18895283592013</v>
      </c>
      <c r="I22" s="35"/>
      <c r="J22" s="19"/>
      <c r="L22" s="112"/>
    </row>
    <row r="23" spans="1:14" ht="15" customHeight="1" x14ac:dyDescent="0.2">
      <c r="A23" s="38">
        <v>18</v>
      </c>
      <c r="B23" s="53">
        <f t="shared" si="3"/>
        <v>1109.3400428627522</v>
      </c>
      <c r="C23" s="54">
        <f t="shared" si="0"/>
        <v>896.40000000000009</v>
      </c>
      <c r="D23" s="53">
        <f t="shared" si="2"/>
        <v>355.7653517460846</v>
      </c>
      <c r="E23" s="38">
        <v>18</v>
      </c>
      <c r="F23" s="53">
        <f t="shared" si="4"/>
        <v>1442.1415572918718</v>
      </c>
      <c r="G23" s="59">
        <f t="shared" si="1"/>
        <v>462.49479742350326</v>
      </c>
      <c r="I23" s="218" t="s">
        <v>62</v>
      </c>
      <c r="J23" s="218"/>
      <c r="K23" s="219"/>
      <c r="L23" s="266">
        <v>0</v>
      </c>
    </row>
    <row r="24" spans="1:14" ht="15" customHeight="1" thickBot="1" x14ac:dyDescent="0.25">
      <c r="A24" s="38">
        <v>17</v>
      </c>
      <c r="B24" s="53">
        <f t="shared" si="3"/>
        <v>1047.710040481488</v>
      </c>
      <c r="C24" s="54">
        <f t="shared" si="0"/>
        <v>846.5999999999998</v>
      </c>
      <c r="D24" s="53">
        <f t="shared" si="2"/>
        <v>336.00060998241321</v>
      </c>
      <c r="E24" s="38">
        <v>17</v>
      </c>
      <c r="F24" s="53">
        <f t="shared" si="4"/>
        <v>1362.022581886768</v>
      </c>
      <c r="G24" s="59">
        <f t="shared" si="1"/>
        <v>436.80064201108644</v>
      </c>
      <c r="I24" s="218"/>
      <c r="J24" s="218"/>
      <c r="K24" s="219"/>
      <c r="L24" s="267"/>
    </row>
    <row r="25" spans="1:14" ht="15" customHeight="1" thickBot="1" x14ac:dyDescent="0.25">
      <c r="A25" s="38">
        <v>16</v>
      </c>
      <c r="B25" s="53">
        <f t="shared" si="3"/>
        <v>986.0800381002241</v>
      </c>
      <c r="C25" s="54">
        <f t="shared" si="0"/>
        <v>796.8</v>
      </c>
      <c r="D25" s="53">
        <f t="shared" si="2"/>
        <v>316.23586821874187</v>
      </c>
      <c r="E25" s="38">
        <v>16</v>
      </c>
      <c r="F25" s="53">
        <f t="shared" si="4"/>
        <v>1281.9036064816639</v>
      </c>
      <c r="G25" s="59">
        <f t="shared" si="1"/>
        <v>411.10648659866962</v>
      </c>
      <c r="I25" s="35"/>
      <c r="J25" s="19"/>
      <c r="L25" s="112"/>
    </row>
    <row r="26" spans="1:14" ht="15" customHeight="1" x14ac:dyDescent="0.2">
      <c r="A26" s="38">
        <v>15</v>
      </c>
      <c r="B26" s="53">
        <f t="shared" si="3"/>
        <v>924.45003571896018</v>
      </c>
      <c r="C26" s="54">
        <f t="shared" si="0"/>
        <v>746.99999999999989</v>
      </c>
      <c r="D26" s="53">
        <f t="shared" si="2"/>
        <v>296.47112645507053</v>
      </c>
      <c r="E26" s="38">
        <v>15</v>
      </c>
      <c r="F26" s="53">
        <f t="shared" si="4"/>
        <v>1201.7846310765599</v>
      </c>
      <c r="G26" s="59">
        <f t="shared" si="1"/>
        <v>385.41233118625274</v>
      </c>
      <c r="I26" s="218" t="s">
        <v>67</v>
      </c>
      <c r="J26" s="218"/>
      <c r="K26" s="219"/>
      <c r="L26" s="216">
        <v>0</v>
      </c>
    </row>
    <row r="27" spans="1:14" ht="15" customHeight="1" thickBot="1" x14ac:dyDescent="0.25">
      <c r="A27" s="38">
        <v>14</v>
      </c>
      <c r="B27" s="53">
        <f t="shared" si="3"/>
        <v>862.82003333769615</v>
      </c>
      <c r="C27" s="54">
        <f t="shared" si="0"/>
        <v>697.20000000000016</v>
      </c>
      <c r="D27" s="53">
        <f t="shared" si="2"/>
        <v>276.70638469139914</v>
      </c>
      <c r="E27" s="38">
        <v>14</v>
      </c>
      <c r="F27" s="53">
        <f t="shared" si="4"/>
        <v>1121.6656556714559</v>
      </c>
      <c r="G27" s="59">
        <f t="shared" si="1"/>
        <v>359.71817577383587</v>
      </c>
      <c r="I27" s="218"/>
      <c r="J27" s="218"/>
      <c r="K27" s="219"/>
      <c r="L27" s="217"/>
    </row>
    <row r="28" spans="1:14" ht="15" customHeight="1" thickBot="1" x14ac:dyDescent="0.25">
      <c r="A28" s="38">
        <v>13</v>
      </c>
      <c r="B28" s="53">
        <f t="shared" si="3"/>
        <v>801.19003095643211</v>
      </c>
      <c r="C28" s="54">
        <f t="shared" si="0"/>
        <v>647.4</v>
      </c>
      <c r="D28" s="53">
        <f t="shared" si="2"/>
        <v>256.94164292772774</v>
      </c>
      <c r="E28" s="38">
        <v>13</v>
      </c>
      <c r="F28" s="53">
        <f t="shared" si="4"/>
        <v>1041.5466802663518</v>
      </c>
      <c r="G28" s="59">
        <f t="shared" si="1"/>
        <v>334.02402036141899</v>
      </c>
      <c r="I28" s="35"/>
      <c r="J28" s="19"/>
      <c r="L28" s="112"/>
    </row>
    <row r="29" spans="1:14" ht="15" customHeight="1" x14ac:dyDescent="0.2">
      <c r="A29" s="38">
        <v>12</v>
      </c>
      <c r="B29" s="53">
        <f t="shared" si="3"/>
        <v>739.56002857516808</v>
      </c>
      <c r="C29" s="54">
        <f t="shared" si="0"/>
        <v>597.59999999999991</v>
      </c>
      <c r="D29" s="53">
        <f t="shared" si="2"/>
        <v>237.1769011640564</v>
      </c>
      <c r="E29" s="38">
        <v>12</v>
      </c>
      <c r="F29" s="53">
        <f t="shared" si="4"/>
        <v>961.42770486124789</v>
      </c>
      <c r="G29" s="59">
        <f t="shared" si="1"/>
        <v>308.32986494900217</v>
      </c>
      <c r="I29" s="220" t="s">
        <v>63</v>
      </c>
      <c r="J29" s="221"/>
      <c r="K29" s="221"/>
      <c r="L29" s="222"/>
    </row>
    <row r="30" spans="1:14" ht="15" customHeight="1" thickBot="1" x14ac:dyDescent="0.25">
      <c r="A30" s="38">
        <v>11</v>
      </c>
      <c r="B30" s="53">
        <f t="shared" si="3"/>
        <v>677.93002619390415</v>
      </c>
      <c r="C30" s="54">
        <f t="shared" si="0"/>
        <v>547.79999999999995</v>
      </c>
      <c r="D30" s="53">
        <f t="shared" si="2"/>
        <v>217.41215940038506</v>
      </c>
      <c r="E30" s="38">
        <v>11</v>
      </c>
      <c r="F30" s="53">
        <f t="shared" si="4"/>
        <v>881.30872945614396</v>
      </c>
      <c r="G30" s="59">
        <f t="shared" si="1"/>
        <v>282.63570953658535</v>
      </c>
      <c r="I30" s="223"/>
      <c r="J30" s="224"/>
      <c r="K30" s="224"/>
      <c r="L30" s="225"/>
    </row>
    <row r="31" spans="1:14" ht="15" customHeight="1" thickBot="1" x14ac:dyDescent="0.25">
      <c r="A31" s="38">
        <v>10</v>
      </c>
      <c r="B31" s="53">
        <f t="shared" si="3"/>
        <v>616.30002381264012</v>
      </c>
      <c r="C31" s="54">
        <f t="shared" si="0"/>
        <v>498</v>
      </c>
      <c r="D31" s="53">
        <f t="shared" si="2"/>
        <v>197.64741763671367</v>
      </c>
      <c r="E31" s="38">
        <v>10</v>
      </c>
      <c r="F31" s="53">
        <f t="shared" si="4"/>
        <v>801.18975405103993</v>
      </c>
      <c r="G31" s="59">
        <f t="shared" si="1"/>
        <v>256.94155412416848</v>
      </c>
      <c r="I31" s="134" t="s">
        <v>68</v>
      </c>
      <c r="J31" s="132" t="s">
        <v>53</v>
      </c>
      <c r="K31" s="130" t="s">
        <v>69</v>
      </c>
      <c r="L31" s="116" t="s">
        <v>55</v>
      </c>
    </row>
    <row r="32" spans="1:14" ht="15" customHeight="1" x14ac:dyDescent="0.2">
      <c r="A32" s="38">
        <v>9</v>
      </c>
      <c r="B32" s="53">
        <f t="shared" si="3"/>
        <v>554.67002143137609</v>
      </c>
      <c r="C32" s="54">
        <f t="shared" si="0"/>
        <v>448.20000000000005</v>
      </c>
      <c r="D32" s="53">
        <f t="shared" si="2"/>
        <v>177.8826758730423</v>
      </c>
      <c r="E32" s="38">
        <v>9</v>
      </c>
      <c r="F32" s="53">
        <f t="shared" si="4"/>
        <v>721.07077864593589</v>
      </c>
      <c r="G32" s="59">
        <f t="shared" si="1"/>
        <v>231.24739871175163</v>
      </c>
      <c r="I32" s="259">
        <f>((L23/37.5*7.5*5)/7)*30*$C$43</f>
        <v>0</v>
      </c>
      <c r="J32" s="261">
        <f>IF(L26&lt;I32,I32,L26)</f>
        <v>0</v>
      </c>
      <c r="K32" s="263">
        <v>32.07</v>
      </c>
      <c r="L32" s="252">
        <f>J32*K32%</f>
        <v>0</v>
      </c>
    </row>
    <row r="33" spans="1:14" ht="15" customHeight="1" thickBot="1" x14ac:dyDescent="0.25">
      <c r="A33" s="38">
        <v>8</v>
      </c>
      <c r="B33" s="53">
        <f t="shared" si="3"/>
        <v>493.04001905011205</v>
      </c>
      <c r="C33" s="54">
        <f t="shared" si="0"/>
        <v>398.4</v>
      </c>
      <c r="D33" s="53">
        <f t="shared" si="2"/>
        <v>158.11793410937094</v>
      </c>
      <c r="E33" s="38">
        <v>8</v>
      </c>
      <c r="F33" s="53">
        <f t="shared" si="4"/>
        <v>640.95180324083196</v>
      </c>
      <c r="G33" s="59">
        <f t="shared" si="1"/>
        <v>205.55324329933481</v>
      </c>
      <c r="I33" s="260"/>
      <c r="J33" s="262"/>
      <c r="K33" s="264"/>
      <c r="L33" s="265"/>
    </row>
    <row r="34" spans="1:14" ht="15" customHeight="1" thickBot="1" x14ac:dyDescent="0.25">
      <c r="A34" s="38">
        <v>7</v>
      </c>
      <c r="B34" s="53">
        <f t="shared" si="3"/>
        <v>431.41001666884807</v>
      </c>
      <c r="C34" s="54">
        <f t="shared" si="0"/>
        <v>348.60000000000008</v>
      </c>
      <c r="D34" s="53">
        <f t="shared" si="2"/>
        <v>138.35319234569957</v>
      </c>
      <c r="E34" s="38">
        <v>7</v>
      </c>
      <c r="F34" s="53">
        <f t="shared" si="4"/>
        <v>560.83282783572793</v>
      </c>
      <c r="G34" s="59">
        <f t="shared" si="1"/>
        <v>179.85908788691793</v>
      </c>
      <c r="I34" s="254" t="s">
        <v>64</v>
      </c>
      <c r="J34" s="255"/>
      <c r="K34" s="256"/>
      <c r="L34" s="127">
        <f>SUM(L32)</f>
        <v>0</v>
      </c>
    </row>
    <row r="35" spans="1:14" ht="15" customHeight="1" x14ac:dyDescent="0.2">
      <c r="A35" s="38">
        <v>6</v>
      </c>
      <c r="B35" s="53">
        <f t="shared" si="3"/>
        <v>369.78001428758404</v>
      </c>
      <c r="C35" s="54">
        <f t="shared" si="0"/>
        <v>298.79999999999995</v>
      </c>
      <c r="D35" s="53">
        <f t="shared" si="2"/>
        <v>118.5884505820282</v>
      </c>
      <c r="E35" s="38">
        <v>6</v>
      </c>
      <c r="F35" s="53">
        <f t="shared" si="4"/>
        <v>480.71385243062394</v>
      </c>
      <c r="G35" s="59">
        <f t="shared" si="1"/>
        <v>154.16493247450109</v>
      </c>
      <c r="I35" s="35"/>
      <c r="J35" s="19"/>
      <c r="L35" s="112"/>
      <c r="N35" s="133"/>
    </row>
    <row r="36" spans="1:14" ht="15" customHeight="1" x14ac:dyDescent="0.2">
      <c r="A36" s="38">
        <v>5</v>
      </c>
      <c r="B36" s="53">
        <f t="shared" si="3"/>
        <v>308.15001190632006</v>
      </c>
      <c r="C36" s="54">
        <f t="shared" si="0"/>
        <v>249</v>
      </c>
      <c r="D36" s="53">
        <f t="shared" si="2"/>
        <v>98.823708818356835</v>
      </c>
      <c r="E36" s="38">
        <v>5</v>
      </c>
      <c r="F36" s="53">
        <f t="shared" si="4"/>
        <v>400.59487702551996</v>
      </c>
      <c r="G36" s="59">
        <f t="shared" si="1"/>
        <v>128.47077706208424</v>
      </c>
      <c r="I36" s="257" t="s">
        <v>66</v>
      </c>
      <c r="J36" s="257"/>
      <c r="K36" s="257"/>
      <c r="L36" s="257"/>
      <c r="M36" s="258" t="s">
        <v>98</v>
      </c>
      <c r="N36" s="133"/>
    </row>
    <row r="37" spans="1:14" ht="21.6" customHeight="1" x14ac:dyDescent="0.2">
      <c r="A37" s="38">
        <v>4</v>
      </c>
      <c r="B37" s="53">
        <f t="shared" si="3"/>
        <v>246.52000952505603</v>
      </c>
      <c r="C37" s="54">
        <f t="shared" si="0"/>
        <v>199.2</v>
      </c>
      <c r="D37" s="53">
        <f t="shared" si="2"/>
        <v>79.058967054685468</v>
      </c>
      <c r="E37" s="38">
        <v>4</v>
      </c>
      <c r="F37" s="53">
        <f t="shared" si="4"/>
        <v>320.47590162041598</v>
      </c>
      <c r="G37" s="59">
        <f t="shared" si="1"/>
        <v>102.7766216496674</v>
      </c>
      <c r="I37" s="257"/>
      <c r="J37" s="257"/>
      <c r="K37" s="257"/>
      <c r="L37" s="257"/>
      <c r="M37" s="258"/>
      <c r="N37" s="133"/>
    </row>
    <row r="38" spans="1:14" ht="15" customHeight="1" x14ac:dyDescent="0.2">
      <c r="A38" s="38">
        <v>3</v>
      </c>
      <c r="B38" s="53">
        <f t="shared" si="3"/>
        <v>184.89000714379202</v>
      </c>
      <c r="C38" s="54">
        <f t="shared" si="0"/>
        <v>149.39999999999998</v>
      </c>
      <c r="D38" s="53">
        <f t="shared" si="2"/>
        <v>59.294225291014101</v>
      </c>
      <c r="E38" s="38">
        <v>3</v>
      </c>
      <c r="F38" s="53">
        <f t="shared" si="4"/>
        <v>240.35692621531197</v>
      </c>
      <c r="G38" s="59">
        <f t="shared" si="1"/>
        <v>77.082466237250543</v>
      </c>
      <c r="I38" s="8"/>
    </row>
    <row r="39" spans="1:14" ht="15" customHeight="1" x14ac:dyDescent="0.2">
      <c r="A39" s="38">
        <v>2</v>
      </c>
      <c r="B39" s="53">
        <f t="shared" si="3"/>
        <v>123.26000476252801</v>
      </c>
      <c r="C39" s="54">
        <f t="shared" si="0"/>
        <v>99.6</v>
      </c>
      <c r="D39" s="53">
        <f t="shared" si="2"/>
        <v>39.529483527342734</v>
      </c>
      <c r="E39" s="38">
        <v>2</v>
      </c>
      <c r="F39" s="53">
        <f t="shared" si="4"/>
        <v>160.23795081020799</v>
      </c>
      <c r="G39" s="59">
        <f t="shared" si="1"/>
        <v>51.388310824833702</v>
      </c>
      <c r="I39" s="8"/>
    </row>
    <row r="40" spans="1:14" ht="15" customHeight="1" x14ac:dyDescent="0.2">
      <c r="A40" s="39">
        <v>1</v>
      </c>
      <c r="B40" s="55">
        <f t="shared" si="3"/>
        <v>61.630002381264006</v>
      </c>
      <c r="C40" s="56">
        <f t="shared" si="0"/>
        <v>49.8</v>
      </c>
      <c r="D40" s="55">
        <f t="shared" si="2"/>
        <v>19.764741763671367</v>
      </c>
      <c r="E40" s="39">
        <v>1</v>
      </c>
      <c r="F40" s="55">
        <f t="shared" si="4"/>
        <v>80.118975405103996</v>
      </c>
      <c r="G40" s="55">
        <f t="shared" si="1"/>
        <v>25.694155412416851</v>
      </c>
      <c r="I40" s="8"/>
    </row>
    <row r="41" spans="1:14" hidden="1" x14ac:dyDescent="0.2">
      <c r="C41" s="208" t="s">
        <v>94</v>
      </c>
      <c r="D41" s="198"/>
    </row>
    <row r="42" spans="1:14" ht="13.5" hidden="1" thickBot="1" x14ac:dyDescent="0.25"/>
    <row r="43" spans="1:14" ht="42" hidden="1" customHeight="1" thickBot="1" x14ac:dyDescent="0.25">
      <c r="B43" s="199" t="s">
        <v>13</v>
      </c>
      <c r="C43" s="200">
        <v>11.62</v>
      </c>
      <c r="E43" s="17"/>
    </row>
  </sheetData>
  <sheetProtection algorithmName="SHA-512" hashValue="F3iYQGRclCL0E4X4CU/PISbew+beVNTLzb49AgR9aFcCUU1wZ1Qm712vyh0qHU8AJr3nhZnR/knHHppDZcMHdw==" saltValue="y5a7ezBqE2OPtmqGCkWgMQ==" spinCount="100000" sheet="1" objects="1" scenarios="1"/>
  <protectedRanges>
    <protectedRange sqref="M36" name="CALCULO RC"/>
    <protectedRange sqref="L8 L26" name="RET TC_1"/>
    <protectedRange sqref="L23" name="DED_1"/>
  </protectedRanges>
  <mergeCells count="36">
    <mergeCell ref="I34:K34"/>
    <mergeCell ref="I36:L37"/>
    <mergeCell ref="M36:M37"/>
    <mergeCell ref="I29:L30"/>
    <mergeCell ref="I32:I33"/>
    <mergeCell ref="J32:J33"/>
    <mergeCell ref="K32:K33"/>
    <mergeCell ref="L32:L33"/>
    <mergeCell ref="I20:N21"/>
    <mergeCell ref="I23:K24"/>
    <mergeCell ref="L23:L24"/>
    <mergeCell ref="I26:K27"/>
    <mergeCell ref="L26:L27"/>
    <mergeCell ref="I16:I17"/>
    <mergeCell ref="J16:J17"/>
    <mergeCell ref="K16:K17"/>
    <mergeCell ref="L16:L17"/>
    <mergeCell ref="I18:J18"/>
    <mergeCell ref="I8:K9"/>
    <mergeCell ref="L8:L9"/>
    <mergeCell ref="I11:L12"/>
    <mergeCell ref="I14:I15"/>
    <mergeCell ref="J14:J15"/>
    <mergeCell ref="K14:K15"/>
    <mergeCell ref="L14:L15"/>
    <mergeCell ref="I4:I5"/>
    <mergeCell ref="J4:J5"/>
    <mergeCell ref="K4:K5"/>
    <mergeCell ref="L4:L5"/>
    <mergeCell ref="M4:M5"/>
    <mergeCell ref="B2:D2"/>
    <mergeCell ref="F2:G2"/>
    <mergeCell ref="A1:G1"/>
    <mergeCell ref="I2:K2"/>
    <mergeCell ref="L2:M2"/>
    <mergeCell ref="I1:M1"/>
  </mergeCells>
  <hyperlinks>
    <hyperlink ref="M36:M37" r:id="rId1" display="CALCULO RC E INDEMNIZACION" xr:uid="{00000000-0004-0000-0100-000000000000}"/>
  </hyperlinks>
  <pageMargins left="0.94488188976377963" right="0.86614173228346458" top="0" bottom="0.39370078740157483" header="0" footer="0"/>
  <pageSetup paperSize="9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9"/>
  <sheetViews>
    <sheetView topLeftCell="B1" zoomScaleNormal="100" workbookViewId="0">
      <selection activeCell="B18" sqref="B18:C18"/>
    </sheetView>
  </sheetViews>
  <sheetFormatPr baseColWidth="10" defaultColWidth="11.5703125" defaultRowHeight="14.25" x14ac:dyDescent="0.2"/>
  <cols>
    <col min="1" max="1" width="40.7109375" style="165" customWidth="1"/>
    <col min="2" max="4" width="24.7109375" style="70" customWidth="1"/>
    <col min="5" max="5" width="8" style="5" customWidth="1"/>
    <col min="6" max="6" width="30" style="7" customWidth="1"/>
    <col min="7" max="7" width="20.7109375" style="5" customWidth="1"/>
    <col min="8" max="8" width="24.28515625" style="5" customWidth="1"/>
    <col min="9" max="9" width="20.5703125" style="5" customWidth="1"/>
    <col min="10" max="10" width="15.28515625" style="5" customWidth="1"/>
    <col min="11" max="16384" width="11.5703125" style="5"/>
  </cols>
  <sheetData>
    <row r="1" spans="1:10" s="8" customFormat="1" ht="55.5" customHeight="1" thickBot="1" x14ac:dyDescent="0.25">
      <c r="A1" s="284" t="s">
        <v>97</v>
      </c>
      <c r="B1" s="285"/>
      <c r="C1" s="285"/>
      <c r="D1" s="286"/>
      <c r="F1" s="155" t="s">
        <v>81</v>
      </c>
      <c r="G1" s="287" t="s">
        <v>48</v>
      </c>
      <c r="H1" s="288"/>
      <c r="I1" s="287" t="s">
        <v>52</v>
      </c>
      <c r="J1" s="288"/>
    </row>
    <row r="2" spans="1:10" s="36" customFormat="1" ht="34.5" customHeight="1" x14ac:dyDescent="0.2">
      <c r="A2" s="161" t="s">
        <v>80</v>
      </c>
      <c r="B2" s="282" t="s">
        <v>45</v>
      </c>
      <c r="C2" s="283"/>
      <c r="D2" s="283"/>
      <c r="E2" s="171"/>
      <c r="F2" s="121" t="s">
        <v>82</v>
      </c>
      <c r="G2" s="121" t="s">
        <v>58</v>
      </c>
      <c r="H2" s="121" t="s">
        <v>59</v>
      </c>
      <c r="I2" s="122" t="s">
        <v>50</v>
      </c>
      <c r="J2" s="121" t="s">
        <v>51</v>
      </c>
    </row>
    <row r="3" spans="1:10" s="27" customFormat="1" ht="25.5" x14ac:dyDescent="0.2">
      <c r="A3" s="136"/>
      <c r="B3" s="65" t="s">
        <v>93</v>
      </c>
      <c r="C3" s="137" t="s">
        <v>78</v>
      </c>
      <c r="D3" s="137" t="s">
        <v>84</v>
      </c>
      <c r="F3" s="138">
        <v>9.82</v>
      </c>
      <c r="G3" s="201">
        <v>1629.3</v>
      </c>
      <c r="H3" s="201">
        <v>4495.5</v>
      </c>
      <c r="I3" s="202">
        <v>1166.7</v>
      </c>
      <c r="J3" s="202">
        <v>4495.5</v>
      </c>
    </row>
    <row r="4" spans="1:10" s="21" customFormat="1" ht="30.75" customHeight="1" thickBot="1" x14ac:dyDescent="0.25">
      <c r="A4" s="162" t="s">
        <v>79</v>
      </c>
      <c r="B4" s="145">
        <v>30752.12</v>
      </c>
      <c r="C4" s="174">
        <f>B4/12</f>
        <v>2562.6766666666667</v>
      </c>
      <c r="D4" s="175">
        <f>B4/14</f>
        <v>2196.58</v>
      </c>
      <c r="F4" s="150"/>
      <c r="G4" s="151"/>
      <c r="H4" s="151"/>
      <c r="I4" s="152"/>
      <c r="J4" s="152"/>
    </row>
    <row r="5" spans="1:10" s="8" customFormat="1" ht="24" customHeight="1" thickBot="1" x14ac:dyDescent="0.25">
      <c r="A5" s="163" t="s">
        <v>70</v>
      </c>
      <c r="B5" s="146">
        <f>B4*56%</f>
        <v>17221.1872</v>
      </c>
      <c r="C5" s="146">
        <f>B5/12</f>
        <v>1435.0989333333334</v>
      </c>
      <c r="D5" s="147">
        <f>B5/14</f>
        <v>1230.0848000000001</v>
      </c>
      <c r="F5" s="275" t="s">
        <v>95</v>
      </c>
      <c r="G5" s="275"/>
      <c r="H5" s="275"/>
      <c r="I5" s="207">
        <v>0</v>
      </c>
    </row>
    <row r="6" spans="1:10" s="8" customFormat="1" ht="24" customHeight="1" x14ac:dyDescent="0.2">
      <c r="A6" s="163" t="s">
        <v>71</v>
      </c>
      <c r="B6" s="146">
        <f>B4*56%</f>
        <v>17221.1872</v>
      </c>
      <c r="C6" s="176">
        <f>B6/12</f>
        <v>1435.0989333333334</v>
      </c>
      <c r="D6" s="172">
        <f t="shared" ref="D6:D10" si="0">B6/14</f>
        <v>1230.0848000000001</v>
      </c>
      <c r="F6" s="289" t="s">
        <v>86</v>
      </c>
      <c r="G6" s="290"/>
      <c r="H6" s="290"/>
      <c r="I6" s="291"/>
      <c r="J6" s="154"/>
    </row>
    <row r="7" spans="1:10" s="8" customFormat="1" ht="24" customHeight="1" thickBot="1" x14ac:dyDescent="0.25">
      <c r="A7" s="163" t="s">
        <v>72</v>
      </c>
      <c r="B7" s="146">
        <f>B4*60%</f>
        <v>18451.271999999997</v>
      </c>
      <c r="C7" s="176">
        <f>B7/12</f>
        <v>1537.6059999999998</v>
      </c>
      <c r="D7" s="172">
        <f t="shared" si="0"/>
        <v>1317.9479999999999</v>
      </c>
      <c r="F7" s="292"/>
      <c r="G7" s="293"/>
      <c r="H7" s="293"/>
      <c r="I7" s="294"/>
      <c r="J7" s="154"/>
    </row>
    <row r="8" spans="1:10" s="8" customFormat="1" ht="24" customHeight="1" thickBot="1" x14ac:dyDescent="0.25">
      <c r="A8" s="163" t="s">
        <v>73</v>
      </c>
      <c r="B8" s="146">
        <f>B4*75%</f>
        <v>23064.09</v>
      </c>
      <c r="C8" s="146">
        <f>B8/12</f>
        <v>1922.0074999999999</v>
      </c>
      <c r="D8" s="147">
        <f t="shared" si="0"/>
        <v>1647.4349999999999</v>
      </c>
      <c r="F8" s="114"/>
      <c r="G8" s="132" t="s">
        <v>53</v>
      </c>
      <c r="H8" s="156" t="s">
        <v>54</v>
      </c>
      <c r="I8" s="139" t="s">
        <v>55</v>
      </c>
    </row>
    <row r="9" spans="1:10" s="8" customFormat="1" ht="15" customHeight="1" x14ac:dyDescent="0.2">
      <c r="A9" s="163"/>
      <c r="B9" s="146"/>
      <c r="C9" s="146"/>
      <c r="D9" s="147"/>
      <c r="F9" s="295" t="s">
        <v>56</v>
      </c>
      <c r="G9" s="245">
        <f>IF($I$5&gt;=$G$3,$I$5,$G$3)</f>
        <v>1629.3</v>
      </c>
      <c r="H9" s="263">
        <v>17.02</v>
      </c>
      <c r="I9" s="245">
        <f>G9*H9%</f>
        <v>277.30685999999997</v>
      </c>
    </row>
    <row r="10" spans="1:10" s="8" customFormat="1" ht="15" customHeight="1" thickBot="1" x14ac:dyDescent="0.25">
      <c r="A10" s="164" t="s">
        <v>74</v>
      </c>
      <c r="B10" s="148">
        <f>(SUM(B5:B8))/4</f>
        <v>18989.434099999999</v>
      </c>
      <c r="C10" s="177">
        <f>(SUM(C5:C8))/4</f>
        <v>1582.4528416666667</v>
      </c>
      <c r="D10" s="173">
        <f t="shared" si="0"/>
        <v>1356.38815</v>
      </c>
      <c r="F10" s="296"/>
      <c r="G10" s="246"/>
      <c r="H10" s="264"/>
      <c r="I10" s="246"/>
    </row>
    <row r="11" spans="1:10" ht="14.25" customHeight="1" x14ac:dyDescent="0.2">
      <c r="F11" s="295" t="s">
        <v>57</v>
      </c>
      <c r="G11" s="245">
        <f>IF($I$5&gt;=$I$3,$I$5,$I$3)</f>
        <v>1166.7</v>
      </c>
      <c r="H11" s="263">
        <v>9</v>
      </c>
      <c r="I11" s="245">
        <f>G11*H11%</f>
        <v>105.003</v>
      </c>
    </row>
    <row r="12" spans="1:10" ht="15" thickBot="1" x14ac:dyDescent="0.25">
      <c r="F12" s="296"/>
      <c r="G12" s="246"/>
      <c r="H12" s="264"/>
      <c r="I12" s="246"/>
    </row>
    <row r="13" spans="1:10" ht="24" customHeight="1" thickBot="1" x14ac:dyDescent="0.25">
      <c r="A13" s="257" t="s">
        <v>99</v>
      </c>
      <c r="B13" s="257"/>
      <c r="C13" s="257"/>
      <c r="D13" s="257"/>
      <c r="F13" s="250" t="s">
        <v>83</v>
      </c>
      <c r="G13" s="251"/>
      <c r="H13" s="158">
        <f>SUM(H9:H12)</f>
        <v>26.02</v>
      </c>
      <c r="I13" s="153">
        <f>SUM(I9:I12)</f>
        <v>382.30985999999996</v>
      </c>
    </row>
    <row r="14" spans="1:10" x14ac:dyDescent="0.2">
      <c r="A14" s="257"/>
      <c r="B14" s="257"/>
      <c r="C14" s="257"/>
      <c r="D14" s="257"/>
    </row>
    <row r="15" spans="1:10" x14ac:dyDescent="0.2">
      <c r="A15" s="273" t="s">
        <v>100</v>
      </c>
      <c r="B15" s="273"/>
      <c r="C15" s="273"/>
      <c r="D15" s="273"/>
    </row>
    <row r="16" spans="1:10" ht="15" customHeight="1" thickBot="1" x14ac:dyDescent="0.25">
      <c r="A16" s="273"/>
      <c r="B16" s="273"/>
      <c r="C16" s="273"/>
      <c r="D16" s="273"/>
    </row>
    <row r="17" spans="1:10" ht="28.5" customHeight="1" thickBot="1" x14ac:dyDescent="0.25">
      <c r="A17" s="166"/>
      <c r="B17"/>
      <c r="C17"/>
      <c r="D17"/>
      <c r="F17" s="275" t="s">
        <v>95</v>
      </c>
      <c r="G17" s="275"/>
      <c r="H17" s="275"/>
      <c r="I17" s="207">
        <v>0</v>
      </c>
    </row>
    <row r="18" spans="1:10" ht="42" customHeight="1" thickBot="1" x14ac:dyDescent="0.25">
      <c r="A18" s="178"/>
      <c r="B18" s="274"/>
      <c r="C18" s="274"/>
      <c r="D18" s="167"/>
      <c r="F18" s="276" t="s">
        <v>87</v>
      </c>
      <c r="G18" s="277"/>
      <c r="H18" s="277"/>
      <c r="I18" s="277"/>
      <c r="J18" s="183"/>
    </row>
    <row r="19" spans="1:10" ht="15" thickBot="1" x14ac:dyDescent="0.25">
      <c r="A19" s="169"/>
      <c r="B19" s="169"/>
      <c r="C19" s="169"/>
      <c r="D19" s="169"/>
      <c r="F19" s="157"/>
      <c r="G19" s="132" t="s">
        <v>53</v>
      </c>
      <c r="H19" s="156" t="s">
        <v>54</v>
      </c>
      <c r="I19" s="139" t="s">
        <v>55</v>
      </c>
      <c r="J19" s="178"/>
    </row>
    <row r="20" spans="1:10" ht="21" customHeight="1" x14ac:dyDescent="0.2">
      <c r="A20" s="179"/>
      <c r="B20" s="168"/>
      <c r="C20" s="168"/>
      <c r="D20" s="168"/>
      <c r="F20" s="243" t="s">
        <v>56</v>
      </c>
      <c r="G20" s="245">
        <f>IF($I$17&gt;=$G$3,$I$17,$G$3)</f>
        <v>1629.3</v>
      </c>
      <c r="H20" s="261">
        <v>24.1</v>
      </c>
      <c r="I20" s="280">
        <f>G20*H20%</f>
        <v>392.66130000000004</v>
      </c>
      <c r="J20" s="183"/>
    </row>
    <row r="21" spans="1:10" ht="24.75" customHeight="1" thickBot="1" x14ac:dyDescent="0.25">
      <c r="A21" s="179"/>
      <c r="B21" s="168"/>
      <c r="C21" s="168"/>
      <c r="D21" s="168"/>
      <c r="F21" s="244"/>
      <c r="G21" s="246"/>
      <c r="H21" s="262"/>
      <c r="I21" s="281"/>
      <c r="J21" s="183"/>
    </row>
    <row r="22" spans="1:10" ht="20.25" customHeight="1" x14ac:dyDescent="0.2">
      <c r="A22" s="180"/>
      <c r="B22" s="181"/>
      <c r="C22" s="181"/>
      <c r="D22" s="181"/>
      <c r="F22" s="243" t="s">
        <v>57</v>
      </c>
      <c r="G22" s="245">
        <f>IF($I$17&gt;=$I$3,$I$17,$I$3)</f>
        <v>1166.7</v>
      </c>
      <c r="H22" s="261">
        <v>7.8</v>
      </c>
      <c r="I22" s="245">
        <f>G22*H22%</f>
        <v>91.002600000000001</v>
      </c>
      <c r="J22" s="178"/>
    </row>
    <row r="23" spans="1:10" ht="14.25" customHeight="1" thickBot="1" x14ac:dyDescent="0.25">
      <c r="A23" s="160"/>
      <c r="B23" s="160"/>
      <c r="C23" s="170"/>
      <c r="D23" s="170"/>
      <c r="F23" s="244"/>
      <c r="G23" s="246"/>
      <c r="H23" s="262"/>
      <c r="I23" s="246"/>
      <c r="J23" s="178"/>
    </row>
    <row r="24" spans="1:10" ht="25.5" customHeight="1" thickBot="1" x14ac:dyDescent="0.25">
      <c r="A24" s="160"/>
      <c r="B24" s="160"/>
      <c r="C24" s="170"/>
      <c r="D24" s="170"/>
      <c r="F24" s="250" t="s">
        <v>85</v>
      </c>
      <c r="G24" s="251"/>
      <c r="H24" s="158">
        <f>(H20+H22)</f>
        <v>31.900000000000002</v>
      </c>
      <c r="I24" s="184">
        <f>(I20+I22)</f>
        <v>483.66390000000001</v>
      </c>
      <c r="J24" s="183"/>
    </row>
    <row r="25" spans="1:10" ht="26.25" customHeight="1" x14ac:dyDescent="0.2">
      <c r="A25" s="180"/>
      <c r="B25" s="181"/>
      <c r="C25" s="181"/>
      <c r="D25" s="181"/>
    </row>
    <row r="26" spans="1:10" ht="20.25" customHeight="1" x14ac:dyDescent="0.2">
      <c r="A26" s="160"/>
      <c r="B26" s="160"/>
      <c r="C26" s="182"/>
      <c r="D26" s="182"/>
      <c r="F26" s="279" t="s">
        <v>66</v>
      </c>
      <c r="G26" s="279"/>
      <c r="H26" s="279"/>
      <c r="I26" s="278" t="s">
        <v>65</v>
      </c>
    </row>
    <row r="27" spans="1:10" x14ac:dyDescent="0.2">
      <c r="A27" s="160"/>
      <c r="B27" s="160"/>
      <c r="C27" s="182"/>
      <c r="D27" s="182"/>
      <c r="F27" s="279"/>
      <c r="G27" s="279"/>
      <c r="H27" s="279"/>
      <c r="I27" s="278"/>
    </row>
    <row r="29" spans="1:10" x14ac:dyDescent="0.2">
      <c r="H29" s="159"/>
    </row>
  </sheetData>
  <protectedRanges>
    <protectedRange sqref="I26" name="CALCULO RC"/>
    <protectedRange sqref="C26:D26" name="RET PRACTICAS"/>
    <protectedRange sqref="C23:D23" name="DED"/>
    <protectedRange sqref="I5" name="RET PREDOC_1"/>
    <protectedRange sqref="I17" name="RET PREDOC_2"/>
  </protectedRanges>
  <mergeCells count="31">
    <mergeCell ref="B2:D2"/>
    <mergeCell ref="A1:D1"/>
    <mergeCell ref="F13:G13"/>
    <mergeCell ref="G11:G12"/>
    <mergeCell ref="I1:J1"/>
    <mergeCell ref="G1:H1"/>
    <mergeCell ref="G9:G10"/>
    <mergeCell ref="F5:H5"/>
    <mergeCell ref="F6:I7"/>
    <mergeCell ref="I11:I12"/>
    <mergeCell ref="F9:F10"/>
    <mergeCell ref="F11:F12"/>
    <mergeCell ref="H9:H10"/>
    <mergeCell ref="I9:I10"/>
    <mergeCell ref="H11:H12"/>
    <mergeCell ref="A13:D14"/>
    <mergeCell ref="I26:I27"/>
    <mergeCell ref="F26:H27"/>
    <mergeCell ref="I20:I21"/>
    <mergeCell ref="I22:I23"/>
    <mergeCell ref="F24:G24"/>
    <mergeCell ref="H22:H23"/>
    <mergeCell ref="G22:G23"/>
    <mergeCell ref="F22:F23"/>
    <mergeCell ref="A15:D16"/>
    <mergeCell ref="B18:C18"/>
    <mergeCell ref="F17:H17"/>
    <mergeCell ref="F18:I18"/>
    <mergeCell ref="H20:H21"/>
    <mergeCell ref="G20:G21"/>
    <mergeCell ref="F20:F21"/>
  </mergeCells>
  <hyperlinks>
    <hyperlink ref="I26:I27" r:id="rId1" display="CALCULO RC" xr:uid="{00000000-0004-0000-0200-000000000000}"/>
  </hyperlinks>
  <pageMargins left="0.94488188976377963" right="0.94488188976377963" top="0" bottom="0.39370078740157483" header="0" footer="0"/>
  <pageSetup paperSize="9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4"/>
  <sheetViews>
    <sheetView topLeftCell="E1" zoomScaleNormal="100" workbookViewId="0">
      <selection activeCell="L10" sqref="L10"/>
    </sheetView>
  </sheetViews>
  <sheetFormatPr baseColWidth="10" defaultColWidth="11.5703125" defaultRowHeight="14.25" x14ac:dyDescent="0.2"/>
  <cols>
    <col min="1" max="1" width="18.42578125" style="4" customWidth="1"/>
    <col min="2" max="2" width="34.28515625" style="68" customWidth="1"/>
    <col min="3" max="3" width="14.7109375" style="69" hidden="1" customWidth="1"/>
    <col min="4" max="4" width="26.7109375" style="68" customWidth="1"/>
    <col min="5" max="5" width="18.42578125" style="5" customWidth="1"/>
    <col min="6" max="6" width="24.7109375" style="68" customWidth="1"/>
    <col min="7" max="7" width="18.42578125" style="68" customWidth="1"/>
    <col min="8" max="8" width="11.5703125" style="5"/>
    <col min="9" max="9" width="17.7109375" style="7" customWidth="1"/>
    <col min="10" max="10" width="20.42578125" style="5" customWidth="1"/>
    <col min="11" max="11" width="19.42578125" style="5" customWidth="1"/>
    <col min="12" max="12" width="17.42578125" style="5" customWidth="1"/>
    <col min="13" max="13" width="15.42578125" style="5" customWidth="1"/>
    <col min="14" max="16384" width="11.5703125" style="5"/>
  </cols>
  <sheetData>
    <row r="1" spans="1:16" s="8" customFormat="1" ht="43.9" customHeight="1" x14ac:dyDescent="0.2">
      <c r="A1" s="233" t="s">
        <v>109</v>
      </c>
      <c r="B1" s="234"/>
      <c r="C1" s="234"/>
      <c r="D1" s="234"/>
      <c r="E1" s="234"/>
      <c r="F1" s="234"/>
      <c r="G1" s="234"/>
      <c r="I1" s="238" t="s">
        <v>113</v>
      </c>
      <c r="J1" s="239"/>
      <c r="K1" s="239"/>
      <c r="L1" s="239"/>
      <c r="M1" s="240"/>
    </row>
    <row r="2" spans="1:16" s="36" customFormat="1" ht="24.75" customHeight="1" x14ac:dyDescent="0.2">
      <c r="A2" s="44"/>
      <c r="B2" s="299" t="s">
        <v>45</v>
      </c>
      <c r="C2" s="299"/>
      <c r="D2" s="300"/>
      <c r="E2" s="42"/>
      <c r="F2" s="299" t="s">
        <v>46</v>
      </c>
      <c r="G2" s="300"/>
      <c r="I2" s="228" t="s">
        <v>48</v>
      </c>
      <c r="J2" s="228"/>
      <c r="K2" s="228"/>
      <c r="L2" s="228" t="s">
        <v>52</v>
      </c>
      <c r="M2" s="228"/>
      <c r="O2" s="5"/>
      <c r="P2" s="5"/>
    </row>
    <row r="3" spans="1:16" s="27" customFormat="1" ht="38.25" x14ac:dyDescent="0.2">
      <c r="A3" s="43" t="s">
        <v>43</v>
      </c>
      <c r="B3" s="65" t="s">
        <v>44</v>
      </c>
      <c r="C3" s="66" t="s">
        <v>14</v>
      </c>
      <c r="D3" s="67" t="s">
        <v>106</v>
      </c>
      <c r="E3" s="40" t="s">
        <v>43</v>
      </c>
      <c r="F3" s="65" t="s">
        <v>44</v>
      </c>
      <c r="G3" s="67" t="s">
        <v>107</v>
      </c>
      <c r="I3" s="121" t="s">
        <v>47</v>
      </c>
      <c r="J3" s="121" t="s">
        <v>58</v>
      </c>
      <c r="K3" s="121" t="s">
        <v>59</v>
      </c>
      <c r="L3" s="122" t="s">
        <v>50</v>
      </c>
      <c r="M3" s="121" t="s">
        <v>51</v>
      </c>
      <c r="O3" s="5"/>
      <c r="P3" s="5"/>
    </row>
    <row r="4" spans="1:16" ht="15" customHeight="1" x14ac:dyDescent="0.2">
      <c r="A4" s="37">
        <v>37.5</v>
      </c>
      <c r="B4" s="71">
        <f>PARAMETROS!B5</f>
        <v>1708.2224406132002</v>
      </c>
      <c r="C4" s="72"/>
      <c r="D4" s="71"/>
      <c r="E4" s="37">
        <v>37.5</v>
      </c>
      <c r="F4" s="71">
        <f>PARAMETROS!C5</f>
        <v>2220.6895189289003</v>
      </c>
      <c r="G4" s="71">
        <f>IF(F4&gt;$K$4,$K$4*$K$18%,F4*$K$18%)</f>
        <v>712.17512872049826</v>
      </c>
      <c r="I4" s="235">
        <v>1</v>
      </c>
      <c r="J4" s="236">
        <v>1929</v>
      </c>
      <c r="K4" s="236">
        <v>4909.5</v>
      </c>
      <c r="L4" s="231">
        <v>1381.2</v>
      </c>
      <c r="M4" s="231">
        <v>4909.5</v>
      </c>
      <c r="N4" s="8"/>
    </row>
    <row r="5" spans="1:16" ht="15" customHeight="1" x14ac:dyDescent="0.2">
      <c r="A5" s="38">
        <v>36</v>
      </c>
      <c r="B5" s="73">
        <f>PRODUCT(B$4,A5)/A$4</f>
        <v>1639.8935429886724</v>
      </c>
      <c r="C5" s="74">
        <f t="shared" ref="C5:C40" si="0">(A5/$A$4*7.5*5)/7*30*$C$43</f>
        <v>1792.8000000000002</v>
      </c>
      <c r="D5" s="73">
        <f>IF(B5&lt;C5,C5*$K$18%,B5*$K$18%)</f>
        <v>574.95096000000001</v>
      </c>
      <c r="E5" s="38">
        <v>36</v>
      </c>
      <c r="F5" s="73">
        <f>PRODUCT(F$4,E5)/E$4</f>
        <v>2131.861938171744</v>
      </c>
      <c r="G5" s="73">
        <f t="shared" ref="G5:G40" si="1">IF(F5&gt;$K$4,$K$4*$K$18%,F5*$K$18%)</f>
        <v>683.68812357167826</v>
      </c>
      <c r="I5" s="235"/>
      <c r="J5" s="237"/>
      <c r="K5" s="237"/>
      <c r="L5" s="232"/>
      <c r="M5" s="232"/>
      <c r="N5" s="8"/>
    </row>
    <row r="6" spans="1:16" ht="15" customHeight="1" x14ac:dyDescent="0.2">
      <c r="A6" s="38">
        <v>35</v>
      </c>
      <c r="B6" s="73">
        <f t="shared" ref="B6:B40" si="2">PRODUCT(B$4,A6)/A$4</f>
        <v>1594.3409445723203</v>
      </c>
      <c r="C6" s="74">
        <f t="shared" si="0"/>
        <v>1742.9999999999998</v>
      </c>
      <c r="D6" s="73">
        <f t="shared" ref="D6:D40" si="3">IF(B6&lt;C6,C6*$K$18%,B6*$K$18%)</f>
        <v>558.98009999999988</v>
      </c>
      <c r="E6" s="38">
        <v>35</v>
      </c>
      <c r="F6" s="73">
        <f t="shared" ref="F6:F40" si="4">PRODUCT(F$4,E6)/E$4</f>
        <v>2072.6435510003071</v>
      </c>
      <c r="G6" s="73">
        <f t="shared" si="1"/>
        <v>664.69678680579841</v>
      </c>
      <c r="I6" s="35"/>
      <c r="J6" s="8"/>
      <c r="K6" s="8"/>
      <c r="L6" s="112"/>
      <c r="M6" s="8"/>
      <c r="N6" s="8"/>
    </row>
    <row r="7" spans="1:16" ht="15" customHeight="1" thickBot="1" x14ac:dyDescent="0.25">
      <c r="A7" s="38">
        <v>34</v>
      </c>
      <c r="B7" s="73">
        <f t="shared" si="2"/>
        <v>1548.7883461559682</v>
      </c>
      <c r="C7" s="74">
        <f t="shared" si="0"/>
        <v>1693.1999999999996</v>
      </c>
      <c r="D7" s="73">
        <f t="shared" si="3"/>
        <v>543.00923999999986</v>
      </c>
      <c r="E7" s="38">
        <v>34</v>
      </c>
      <c r="F7" s="73">
        <f t="shared" si="4"/>
        <v>2013.4251638288695</v>
      </c>
      <c r="G7" s="73">
        <f t="shared" si="1"/>
        <v>645.70545003991845</v>
      </c>
      <c r="I7" s="35"/>
      <c r="J7" s="19"/>
      <c r="K7" s="8"/>
      <c r="L7" s="112"/>
      <c r="M7" s="8"/>
      <c r="N7" s="8"/>
    </row>
    <row r="8" spans="1:16" ht="15" customHeight="1" x14ac:dyDescent="0.2">
      <c r="A8" s="38">
        <v>33</v>
      </c>
      <c r="B8" s="73">
        <f t="shared" si="2"/>
        <v>1503.2357477396163</v>
      </c>
      <c r="C8" s="74">
        <f t="shared" si="0"/>
        <v>1643.4</v>
      </c>
      <c r="D8" s="73">
        <f t="shared" si="3"/>
        <v>527.03837999999996</v>
      </c>
      <c r="E8" s="38">
        <v>33</v>
      </c>
      <c r="F8" s="73">
        <f t="shared" si="4"/>
        <v>1954.2067766574323</v>
      </c>
      <c r="G8" s="73">
        <f t="shared" si="1"/>
        <v>626.71411327403848</v>
      </c>
      <c r="I8" s="218" t="s">
        <v>88</v>
      </c>
      <c r="J8" s="218"/>
      <c r="K8" s="219"/>
      <c r="L8" s="216">
        <v>0</v>
      </c>
      <c r="M8" s="8"/>
      <c r="N8" s="8"/>
    </row>
    <row r="9" spans="1:16" ht="15" customHeight="1" thickBot="1" x14ac:dyDescent="0.25">
      <c r="A9" s="38">
        <v>32</v>
      </c>
      <c r="B9" s="73">
        <f t="shared" si="2"/>
        <v>1457.6831493232642</v>
      </c>
      <c r="C9" s="74">
        <f t="shared" si="0"/>
        <v>1593.6</v>
      </c>
      <c r="D9" s="73">
        <f t="shared" si="3"/>
        <v>511.06751999999994</v>
      </c>
      <c r="E9" s="38">
        <v>32</v>
      </c>
      <c r="F9" s="73">
        <f t="shared" si="4"/>
        <v>1894.988389485995</v>
      </c>
      <c r="G9" s="73">
        <f t="shared" si="1"/>
        <v>607.72277650815852</v>
      </c>
      <c r="I9" s="218"/>
      <c r="J9" s="218"/>
      <c r="K9" s="219"/>
      <c r="L9" s="217"/>
      <c r="M9" s="8"/>
      <c r="N9" s="8"/>
    </row>
    <row r="10" spans="1:16" ht="15" customHeight="1" thickBot="1" x14ac:dyDescent="0.25">
      <c r="A10" s="38">
        <v>31</v>
      </c>
      <c r="B10" s="73">
        <f t="shared" si="2"/>
        <v>1412.130550906912</v>
      </c>
      <c r="C10" s="74">
        <f t="shared" si="0"/>
        <v>1543.8</v>
      </c>
      <c r="D10" s="73">
        <f t="shared" si="3"/>
        <v>495.09665999999999</v>
      </c>
      <c r="E10" s="38">
        <v>31</v>
      </c>
      <c r="F10" s="73">
        <f t="shared" si="4"/>
        <v>1835.7700023145574</v>
      </c>
      <c r="G10" s="73">
        <f t="shared" si="1"/>
        <v>588.73143974227855</v>
      </c>
      <c r="I10" s="117"/>
      <c r="J10" s="118"/>
      <c r="K10" s="119"/>
      <c r="L10" s="120"/>
      <c r="M10" s="8"/>
      <c r="N10" s="8"/>
    </row>
    <row r="11" spans="1:16" ht="15" customHeight="1" x14ac:dyDescent="0.2">
      <c r="A11" s="38">
        <v>30</v>
      </c>
      <c r="B11" s="73">
        <f t="shared" si="2"/>
        <v>1366.5779524905602</v>
      </c>
      <c r="C11" s="74">
        <f t="shared" si="0"/>
        <v>1493.9999999999998</v>
      </c>
      <c r="D11" s="73">
        <f t="shared" si="3"/>
        <v>479.12579999999991</v>
      </c>
      <c r="E11" s="38">
        <v>30</v>
      </c>
      <c r="F11" s="73">
        <f t="shared" si="4"/>
        <v>1776.5516151431202</v>
      </c>
      <c r="G11" s="73">
        <f t="shared" si="1"/>
        <v>569.74010297639859</v>
      </c>
      <c r="I11" s="220" t="s">
        <v>60</v>
      </c>
      <c r="J11" s="221"/>
      <c r="K11" s="221"/>
      <c r="L11" s="222"/>
      <c r="M11" s="8"/>
      <c r="N11" s="8"/>
    </row>
    <row r="12" spans="1:16" ht="15" customHeight="1" thickBot="1" x14ac:dyDescent="0.25">
      <c r="A12" s="38">
        <v>29</v>
      </c>
      <c r="B12" s="73">
        <f t="shared" si="2"/>
        <v>1321.0253540742081</v>
      </c>
      <c r="C12" s="74">
        <f t="shared" si="0"/>
        <v>1444.2</v>
      </c>
      <c r="D12" s="73">
        <f t="shared" si="3"/>
        <v>463.15494000000001</v>
      </c>
      <c r="E12" s="38">
        <v>29</v>
      </c>
      <c r="F12" s="73">
        <f t="shared" si="4"/>
        <v>1717.3332279716828</v>
      </c>
      <c r="G12" s="73">
        <f t="shared" si="1"/>
        <v>550.74876621051862</v>
      </c>
      <c r="I12" s="223"/>
      <c r="J12" s="224"/>
      <c r="K12" s="224"/>
      <c r="L12" s="225"/>
      <c r="M12" s="8"/>
      <c r="N12" s="8"/>
    </row>
    <row r="13" spans="1:16" ht="15" customHeight="1" thickBot="1" x14ac:dyDescent="0.25">
      <c r="A13" s="38">
        <v>28</v>
      </c>
      <c r="B13" s="73">
        <f t="shared" si="2"/>
        <v>1275.4727556578562</v>
      </c>
      <c r="C13" s="74">
        <f t="shared" si="0"/>
        <v>1394.4000000000003</v>
      </c>
      <c r="D13" s="73">
        <f t="shared" si="3"/>
        <v>447.18408000000011</v>
      </c>
      <c r="E13" s="38">
        <v>28</v>
      </c>
      <c r="F13" s="73">
        <f t="shared" si="4"/>
        <v>1658.1148408002455</v>
      </c>
      <c r="G13" s="73">
        <f t="shared" si="1"/>
        <v>531.75742944463866</v>
      </c>
      <c r="I13" s="114"/>
      <c r="J13" s="132" t="s">
        <v>53</v>
      </c>
      <c r="K13" s="130" t="s">
        <v>54</v>
      </c>
      <c r="L13" s="139" t="s">
        <v>55</v>
      </c>
      <c r="M13" s="8"/>
      <c r="N13" s="8"/>
    </row>
    <row r="14" spans="1:16" ht="15" customHeight="1" x14ac:dyDescent="0.2">
      <c r="A14" s="38">
        <v>27</v>
      </c>
      <c r="B14" s="73">
        <f t="shared" si="2"/>
        <v>1229.9201572415041</v>
      </c>
      <c r="C14" s="74">
        <f t="shared" si="0"/>
        <v>1344.6</v>
      </c>
      <c r="D14" s="73">
        <f t="shared" si="3"/>
        <v>431.21321999999998</v>
      </c>
      <c r="E14" s="38">
        <v>27</v>
      </c>
      <c r="F14" s="73">
        <f t="shared" si="4"/>
        <v>1598.8964536288081</v>
      </c>
      <c r="G14" s="73">
        <f t="shared" si="1"/>
        <v>512.7660926787587</v>
      </c>
      <c r="I14" s="226" t="s">
        <v>56</v>
      </c>
      <c r="J14" s="245">
        <f>IF(L8&gt;=J4,L8,J4)</f>
        <v>1929</v>
      </c>
      <c r="K14" s="241">
        <v>24.27</v>
      </c>
      <c r="L14" s="247">
        <f>J14*K14%</f>
        <v>468.16829999999999</v>
      </c>
      <c r="M14" s="8"/>
      <c r="N14" s="8"/>
    </row>
    <row r="15" spans="1:16" ht="15" customHeight="1" thickBot="1" x14ac:dyDescent="0.25">
      <c r="A15" s="38">
        <v>26</v>
      </c>
      <c r="B15" s="73">
        <f t="shared" si="2"/>
        <v>1184.3675588251522</v>
      </c>
      <c r="C15" s="74">
        <f t="shared" si="0"/>
        <v>1294.8</v>
      </c>
      <c r="D15" s="73">
        <f t="shared" si="3"/>
        <v>415.24235999999996</v>
      </c>
      <c r="E15" s="38">
        <v>26</v>
      </c>
      <c r="F15" s="73">
        <f t="shared" si="4"/>
        <v>1539.678066457371</v>
      </c>
      <c r="G15" s="73">
        <f t="shared" si="1"/>
        <v>493.77475591287885</v>
      </c>
      <c r="I15" s="227"/>
      <c r="J15" s="246"/>
      <c r="K15" s="242"/>
      <c r="L15" s="248"/>
      <c r="M15" s="8"/>
      <c r="N15" s="8"/>
    </row>
    <row r="16" spans="1:16" ht="15" customHeight="1" x14ac:dyDescent="0.2">
      <c r="A16" s="38">
        <v>25</v>
      </c>
      <c r="B16" s="73">
        <f t="shared" si="2"/>
        <v>1138.8149604088003</v>
      </c>
      <c r="C16" s="74">
        <f t="shared" si="0"/>
        <v>1245</v>
      </c>
      <c r="D16" s="73">
        <f t="shared" si="3"/>
        <v>399.2715</v>
      </c>
      <c r="E16" s="38">
        <v>25</v>
      </c>
      <c r="F16" s="73">
        <f t="shared" si="4"/>
        <v>1480.4596792859336</v>
      </c>
      <c r="G16" s="73">
        <f t="shared" si="1"/>
        <v>474.78341914699888</v>
      </c>
      <c r="I16" s="243" t="s">
        <v>57</v>
      </c>
      <c r="J16" s="245">
        <f>IF(L8&gt;=L4,L8,L4)</f>
        <v>1381.2</v>
      </c>
      <c r="K16" s="241">
        <v>7.8</v>
      </c>
      <c r="L16" s="252">
        <f>J16*K16%</f>
        <v>107.73360000000001</v>
      </c>
      <c r="M16" s="8"/>
      <c r="N16" s="8"/>
    </row>
    <row r="17" spans="1:14" ht="15" customHeight="1" thickBot="1" x14ac:dyDescent="0.25">
      <c r="A17" s="38">
        <v>24</v>
      </c>
      <c r="B17" s="73">
        <f t="shared" si="2"/>
        <v>1093.2623619924482</v>
      </c>
      <c r="C17" s="74">
        <f t="shared" si="0"/>
        <v>1195.1999999999998</v>
      </c>
      <c r="D17" s="73">
        <f t="shared" si="3"/>
        <v>383.30063999999993</v>
      </c>
      <c r="E17" s="38">
        <v>24</v>
      </c>
      <c r="F17" s="73">
        <f t="shared" si="4"/>
        <v>1421.241292114496</v>
      </c>
      <c r="G17" s="73">
        <f t="shared" si="1"/>
        <v>455.79208238111886</v>
      </c>
      <c r="I17" s="244"/>
      <c r="J17" s="246"/>
      <c r="K17" s="242">
        <v>0.2</v>
      </c>
      <c r="L17" s="253"/>
      <c r="M17" s="8"/>
      <c r="N17" s="8"/>
    </row>
    <row r="18" spans="1:14" ht="16.5" customHeight="1" thickBot="1" x14ac:dyDescent="0.25">
      <c r="A18" s="38">
        <v>23</v>
      </c>
      <c r="B18" s="73">
        <f t="shared" si="2"/>
        <v>1047.7097635760961</v>
      </c>
      <c r="C18" s="74">
        <f t="shared" si="0"/>
        <v>1145.3999999999999</v>
      </c>
      <c r="D18" s="73">
        <f t="shared" si="3"/>
        <v>367.32977999999991</v>
      </c>
      <c r="E18" s="38">
        <v>23</v>
      </c>
      <c r="F18" s="73">
        <f t="shared" si="4"/>
        <v>1362.0229049430588</v>
      </c>
      <c r="G18" s="73">
        <f t="shared" si="1"/>
        <v>436.80074561523895</v>
      </c>
      <c r="I18" s="250" t="s">
        <v>61</v>
      </c>
      <c r="J18" s="251"/>
      <c r="K18" s="131">
        <f>(K14+K16)</f>
        <v>32.07</v>
      </c>
      <c r="L18" s="127">
        <f>SUM(L14:L17)</f>
        <v>575.90189999999996</v>
      </c>
      <c r="M18" s="8"/>
      <c r="N18" s="8"/>
    </row>
    <row r="19" spans="1:14" ht="15" customHeight="1" x14ac:dyDescent="0.2">
      <c r="A19" s="38">
        <v>22</v>
      </c>
      <c r="B19" s="73">
        <f t="shared" si="2"/>
        <v>1002.1571651597442</v>
      </c>
      <c r="C19" s="74">
        <f t="shared" si="0"/>
        <v>1095.5999999999999</v>
      </c>
      <c r="D19" s="73">
        <f t="shared" si="3"/>
        <v>351.35891999999996</v>
      </c>
      <c r="E19" s="38">
        <v>22</v>
      </c>
      <c r="F19" s="73">
        <f t="shared" si="4"/>
        <v>1302.8045177716215</v>
      </c>
      <c r="G19" s="73">
        <f t="shared" si="1"/>
        <v>417.80940884935899</v>
      </c>
      <c r="I19" s="123"/>
      <c r="J19" s="124"/>
      <c r="K19" s="125"/>
      <c r="L19" s="126"/>
      <c r="M19" s="8"/>
      <c r="N19" s="8"/>
    </row>
    <row r="20" spans="1:14" ht="15" customHeight="1" x14ac:dyDescent="0.2">
      <c r="A20" s="38">
        <v>21</v>
      </c>
      <c r="B20" s="73">
        <f t="shared" si="2"/>
        <v>956.60456674339207</v>
      </c>
      <c r="C20" s="74">
        <f t="shared" si="0"/>
        <v>1045.8</v>
      </c>
      <c r="D20" s="73">
        <f t="shared" si="3"/>
        <v>335.38806</v>
      </c>
      <c r="E20" s="38">
        <v>21</v>
      </c>
      <c r="F20" s="73">
        <f t="shared" si="4"/>
        <v>1243.5861306001841</v>
      </c>
      <c r="G20" s="73">
        <f t="shared" si="1"/>
        <v>398.81807208347902</v>
      </c>
      <c r="I20" s="272" t="s">
        <v>76</v>
      </c>
      <c r="J20" s="272"/>
      <c r="K20" s="272"/>
      <c r="L20" s="272"/>
      <c r="M20" s="272"/>
      <c r="N20" s="272"/>
    </row>
    <row r="21" spans="1:14" ht="15" customHeight="1" x14ac:dyDescent="0.2">
      <c r="A21" s="38">
        <v>20</v>
      </c>
      <c r="B21" s="73">
        <f t="shared" si="2"/>
        <v>911.05196832704007</v>
      </c>
      <c r="C21" s="74">
        <f t="shared" si="0"/>
        <v>996</v>
      </c>
      <c r="D21" s="73">
        <f t="shared" si="3"/>
        <v>319.41719999999998</v>
      </c>
      <c r="E21" s="38">
        <v>20</v>
      </c>
      <c r="F21" s="73">
        <f t="shared" si="4"/>
        <v>1184.367743428747</v>
      </c>
      <c r="G21" s="73">
        <f t="shared" si="1"/>
        <v>379.82673531759912</v>
      </c>
      <c r="I21" s="272"/>
      <c r="J21" s="272"/>
      <c r="K21" s="272"/>
      <c r="L21" s="272"/>
      <c r="M21" s="272"/>
      <c r="N21" s="272"/>
    </row>
    <row r="22" spans="1:14" ht="15" customHeight="1" thickBot="1" x14ac:dyDescent="0.25">
      <c r="A22" s="38">
        <v>19</v>
      </c>
      <c r="B22" s="73">
        <f t="shared" si="2"/>
        <v>865.49936991068807</v>
      </c>
      <c r="C22" s="74">
        <f t="shared" si="0"/>
        <v>946.19999999999993</v>
      </c>
      <c r="D22" s="73">
        <f t="shared" si="3"/>
        <v>303.44633999999996</v>
      </c>
      <c r="E22" s="38">
        <v>19</v>
      </c>
      <c r="F22" s="73">
        <f t="shared" si="4"/>
        <v>1125.1493562573096</v>
      </c>
      <c r="G22" s="73">
        <f t="shared" si="1"/>
        <v>360.83539855171915</v>
      </c>
      <c r="I22" s="35"/>
      <c r="J22" s="19"/>
      <c r="K22" s="8"/>
      <c r="L22" s="112"/>
      <c r="M22" s="8"/>
      <c r="N22" s="8"/>
    </row>
    <row r="23" spans="1:14" ht="15" customHeight="1" x14ac:dyDescent="0.2">
      <c r="A23" s="38">
        <v>18</v>
      </c>
      <c r="B23" s="73">
        <f t="shared" si="2"/>
        <v>819.94677149433619</v>
      </c>
      <c r="C23" s="74">
        <f t="shared" si="0"/>
        <v>896.40000000000009</v>
      </c>
      <c r="D23" s="73">
        <f t="shared" si="3"/>
        <v>287.47548</v>
      </c>
      <c r="E23" s="38">
        <v>18</v>
      </c>
      <c r="F23" s="73">
        <f t="shared" si="4"/>
        <v>1065.930969085872</v>
      </c>
      <c r="G23" s="73">
        <f t="shared" si="1"/>
        <v>341.84406178583913</v>
      </c>
      <c r="I23" s="218" t="s">
        <v>62</v>
      </c>
      <c r="J23" s="218"/>
      <c r="K23" s="219"/>
      <c r="L23" s="266"/>
      <c r="M23" s="8"/>
      <c r="N23" s="8"/>
    </row>
    <row r="24" spans="1:14" ht="15" customHeight="1" thickBot="1" x14ac:dyDescent="0.25">
      <c r="A24" s="38">
        <v>17</v>
      </c>
      <c r="B24" s="73">
        <f t="shared" si="2"/>
        <v>774.39417307798408</v>
      </c>
      <c r="C24" s="74">
        <f t="shared" si="0"/>
        <v>846.5999999999998</v>
      </c>
      <c r="D24" s="73">
        <f t="shared" si="3"/>
        <v>271.50461999999993</v>
      </c>
      <c r="E24" s="38">
        <v>17</v>
      </c>
      <c r="F24" s="73">
        <f t="shared" si="4"/>
        <v>1006.7125819144347</v>
      </c>
      <c r="G24" s="73">
        <f t="shared" si="1"/>
        <v>322.85272501995922</v>
      </c>
      <c r="I24" s="218"/>
      <c r="J24" s="218"/>
      <c r="K24" s="219"/>
      <c r="L24" s="267"/>
      <c r="M24" s="8"/>
      <c r="N24" s="8"/>
    </row>
    <row r="25" spans="1:14" ht="15" customHeight="1" thickBot="1" x14ac:dyDescent="0.25">
      <c r="A25" s="38">
        <v>16</v>
      </c>
      <c r="B25" s="73">
        <f t="shared" si="2"/>
        <v>728.84157466163208</v>
      </c>
      <c r="C25" s="74">
        <f t="shared" si="0"/>
        <v>796.8</v>
      </c>
      <c r="D25" s="73">
        <f t="shared" si="3"/>
        <v>255.53375999999997</v>
      </c>
      <c r="E25" s="38">
        <v>16</v>
      </c>
      <c r="F25" s="73">
        <f t="shared" si="4"/>
        <v>947.49419474299748</v>
      </c>
      <c r="G25" s="73">
        <f t="shared" si="1"/>
        <v>303.86138825407926</v>
      </c>
      <c r="I25" s="35"/>
      <c r="J25" s="19"/>
      <c r="K25" s="8"/>
      <c r="L25" s="112"/>
      <c r="M25" s="8"/>
      <c r="N25" s="8"/>
    </row>
    <row r="26" spans="1:14" ht="15" customHeight="1" x14ac:dyDescent="0.2">
      <c r="A26" s="38">
        <v>15</v>
      </c>
      <c r="B26" s="73">
        <f t="shared" si="2"/>
        <v>683.28897624528008</v>
      </c>
      <c r="C26" s="74">
        <f t="shared" si="0"/>
        <v>746.99999999999989</v>
      </c>
      <c r="D26" s="73">
        <f t="shared" si="3"/>
        <v>239.56289999999996</v>
      </c>
      <c r="E26" s="38">
        <v>15</v>
      </c>
      <c r="F26" s="73">
        <f t="shared" si="4"/>
        <v>888.27580757156011</v>
      </c>
      <c r="G26" s="73">
        <f t="shared" si="1"/>
        <v>284.87005148819929</v>
      </c>
      <c r="I26" s="218" t="s">
        <v>67</v>
      </c>
      <c r="J26" s="218"/>
      <c r="K26" s="219"/>
      <c r="L26" s="297"/>
      <c r="M26" s="8"/>
      <c r="N26" s="8"/>
    </row>
    <row r="27" spans="1:14" ht="15" customHeight="1" thickBot="1" x14ac:dyDescent="0.25">
      <c r="A27" s="38">
        <v>14</v>
      </c>
      <c r="B27" s="73">
        <f t="shared" si="2"/>
        <v>637.73637782892808</v>
      </c>
      <c r="C27" s="74">
        <f t="shared" si="0"/>
        <v>697.20000000000016</v>
      </c>
      <c r="D27" s="73">
        <f t="shared" si="3"/>
        <v>223.59204000000005</v>
      </c>
      <c r="E27" s="38">
        <v>14</v>
      </c>
      <c r="F27" s="73">
        <f t="shared" si="4"/>
        <v>829.05742040012274</v>
      </c>
      <c r="G27" s="73">
        <f t="shared" si="1"/>
        <v>265.87871472231933</v>
      </c>
      <c r="I27" s="218"/>
      <c r="J27" s="218"/>
      <c r="K27" s="219"/>
      <c r="L27" s="298"/>
      <c r="M27" s="8"/>
      <c r="N27" s="8"/>
    </row>
    <row r="28" spans="1:14" ht="15" customHeight="1" thickBot="1" x14ac:dyDescent="0.25">
      <c r="A28" s="38">
        <v>13</v>
      </c>
      <c r="B28" s="73">
        <f t="shared" si="2"/>
        <v>592.18377941257609</v>
      </c>
      <c r="C28" s="74">
        <f t="shared" si="0"/>
        <v>647.4</v>
      </c>
      <c r="D28" s="73">
        <f t="shared" si="3"/>
        <v>207.62117999999998</v>
      </c>
      <c r="E28" s="38">
        <v>13</v>
      </c>
      <c r="F28" s="73">
        <f t="shared" si="4"/>
        <v>769.83903322868548</v>
      </c>
      <c r="G28" s="73">
        <f t="shared" si="1"/>
        <v>246.88737795643942</v>
      </c>
      <c r="I28" s="35"/>
      <c r="J28" s="19"/>
      <c r="K28" s="8"/>
      <c r="L28" s="112"/>
      <c r="M28" s="8"/>
      <c r="N28" s="8"/>
    </row>
    <row r="29" spans="1:14" ht="15" customHeight="1" x14ac:dyDescent="0.2">
      <c r="A29" s="38">
        <v>12</v>
      </c>
      <c r="B29" s="73">
        <f t="shared" si="2"/>
        <v>546.63118099622409</v>
      </c>
      <c r="C29" s="74">
        <f t="shared" si="0"/>
        <v>597.59999999999991</v>
      </c>
      <c r="D29" s="73">
        <f t="shared" si="3"/>
        <v>191.65031999999997</v>
      </c>
      <c r="E29" s="38">
        <v>12</v>
      </c>
      <c r="F29" s="73">
        <f t="shared" si="4"/>
        <v>710.620646057248</v>
      </c>
      <c r="G29" s="73">
        <f t="shared" si="1"/>
        <v>227.89604119055943</v>
      </c>
      <c r="I29" s="220" t="s">
        <v>63</v>
      </c>
      <c r="J29" s="221"/>
      <c r="K29" s="221"/>
      <c r="L29" s="222"/>
      <c r="M29" s="8"/>
      <c r="N29" s="8"/>
    </row>
    <row r="30" spans="1:14" ht="15" customHeight="1" thickBot="1" x14ac:dyDescent="0.25">
      <c r="A30" s="38">
        <v>11</v>
      </c>
      <c r="B30" s="73">
        <f t="shared" si="2"/>
        <v>501.07858257987209</v>
      </c>
      <c r="C30" s="74">
        <f t="shared" si="0"/>
        <v>547.79999999999995</v>
      </c>
      <c r="D30" s="73">
        <f t="shared" si="3"/>
        <v>175.67945999999998</v>
      </c>
      <c r="E30" s="38">
        <v>11</v>
      </c>
      <c r="F30" s="73">
        <f t="shared" si="4"/>
        <v>651.40225888581074</v>
      </c>
      <c r="G30" s="73">
        <f t="shared" si="1"/>
        <v>208.90470442467949</v>
      </c>
      <c r="I30" s="223"/>
      <c r="J30" s="224"/>
      <c r="K30" s="224"/>
      <c r="L30" s="225"/>
      <c r="M30" s="8"/>
      <c r="N30" s="8"/>
    </row>
    <row r="31" spans="1:14" ht="15" customHeight="1" thickBot="1" x14ac:dyDescent="0.25">
      <c r="A31" s="38">
        <v>10</v>
      </c>
      <c r="B31" s="73">
        <f t="shared" si="2"/>
        <v>455.52598416352004</v>
      </c>
      <c r="C31" s="74">
        <f t="shared" si="0"/>
        <v>498</v>
      </c>
      <c r="D31" s="73">
        <f t="shared" si="3"/>
        <v>159.70859999999999</v>
      </c>
      <c r="E31" s="38">
        <v>10</v>
      </c>
      <c r="F31" s="73">
        <f t="shared" si="4"/>
        <v>592.18387171437348</v>
      </c>
      <c r="G31" s="73">
        <f t="shared" si="1"/>
        <v>189.91336765879956</v>
      </c>
      <c r="I31" s="134" t="s">
        <v>68</v>
      </c>
      <c r="J31" s="132" t="s">
        <v>53</v>
      </c>
      <c r="K31" s="130" t="s">
        <v>69</v>
      </c>
      <c r="L31" s="116" t="s">
        <v>55</v>
      </c>
      <c r="M31" s="8"/>
      <c r="N31" s="8"/>
    </row>
    <row r="32" spans="1:14" ht="15" customHeight="1" x14ac:dyDescent="0.2">
      <c r="A32" s="38">
        <v>9</v>
      </c>
      <c r="B32" s="73">
        <f t="shared" si="2"/>
        <v>409.97338574716809</v>
      </c>
      <c r="C32" s="74">
        <f t="shared" si="0"/>
        <v>448.20000000000005</v>
      </c>
      <c r="D32" s="73">
        <f t="shared" si="3"/>
        <v>143.73774</v>
      </c>
      <c r="E32" s="38">
        <v>9</v>
      </c>
      <c r="F32" s="73">
        <f t="shared" si="4"/>
        <v>532.965484542936</v>
      </c>
      <c r="G32" s="73">
        <f t="shared" si="1"/>
        <v>170.92203089291957</v>
      </c>
      <c r="I32" s="259">
        <f>((L23/37.5*7.5*5)/7)*30*$C$43</f>
        <v>0</v>
      </c>
      <c r="J32" s="261">
        <f>IF(L26&lt;I32,I32,L26)</f>
        <v>0</v>
      </c>
      <c r="K32" s="263">
        <v>32.07</v>
      </c>
      <c r="L32" s="252">
        <f>J32*K32%</f>
        <v>0</v>
      </c>
      <c r="M32" s="8"/>
      <c r="N32" s="8"/>
    </row>
    <row r="33" spans="1:14" ht="15" customHeight="1" thickBot="1" x14ac:dyDescent="0.25">
      <c r="A33" s="38">
        <v>8</v>
      </c>
      <c r="B33" s="73">
        <f t="shared" si="2"/>
        <v>364.42078733081604</v>
      </c>
      <c r="C33" s="74">
        <f t="shared" si="0"/>
        <v>398.4</v>
      </c>
      <c r="D33" s="73">
        <f t="shared" si="3"/>
        <v>127.76687999999999</v>
      </c>
      <c r="E33" s="38">
        <v>8</v>
      </c>
      <c r="F33" s="73">
        <f t="shared" si="4"/>
        <v>473.74709737149874</v>
      </c>
      <c r="G33" s="73">
        <f t="shared" si="1"/>
        <v>151.93069412703963</v>
      </c>
      <c r="I33" s="260"/>
      <c r="J33" s="262"/>
      <c r="K33" s="264"/>
      <c r="L33" s="265"/>
      <c r="M33" s="8"/>
      <c r="N33" s="8"/>
    </row>
    <row r="34" spans="1:14" ht="15" customHeight="1" thickBot="1" x14ac:dyDescent="0.25">
      <c r="A34" s="38">
        <v>7</v>
      </c>
      <c r="B34" s="73">
        <f t="shared" si="2"/>
        <v>318.86818891446404</v>
      </c>
      <c r="C34" s="74">
        <f t="shared" si="0"/>
        <v>348.60000000000008</v>
      </c>
      <c r="D34" s="73">
        <f t="shared" si="3"/>
        <v>111.79602000000003</v>
      </c>
      <c r="E34" s="38">
        <v>7</v>
      </c>
      <c r="F34" s="73">
        <f t="shared" si="4"/>
        <v>414.52871020006137</v>
      </c>
      <c r="G34" s="73">
        <f t="shared" si="1"/>
        <v>132.93935736115967</v>
      </c>
      <c r="I34" s="254" t="s">
        <v>64</v>
      </c>
      <c r="J34" s="255"/>
      <c r="K34" s="256"/>
      <c r="L34" s="127">
        <f>SUM(L32)</f>
        <v>0</v>
      </c>
      <c r="M34" s="8"/>
      <c r="N34" s="8"/>
    </row>
    <row r="35" spans="1:14" ht="15" customHeight="1" x14ac:dyDescent="0.2">
      <c r="A35" s="38">
        <v>6</v>
      </c>
      <c r="B35" s="73">
        <f t="shared" si="2"/>
        <v>273.31559049811204</v>
      </c>
      <c r="C35" s="74">
        <f t="shared" si="0"/>
        <v>298.79999999999995</v>
      </c>
      <c r="D35" s="73">
        <f t="shared" si="3"/>
        <v>95.825159999999983</v>
      </c>
      <c r="E35" s="38">
        <v>6</v>
      </c>
      <c r="F35" s="73">
        <f t="shared" si="4"/>
        <v>355.310323028624</v>
      </c>
      <c r="G35" s="73">
        <f t="shared" si="1"/>
        <v>113.94802059527971</v>
      </c>
      <c r="I35" s="35"/>
      <c r="J35" s="19"/>
      <c r="K35" s="8"/>
      <c r="L35" s="112"/>
      <c r="M35" s="8"/>
      <c r="N35" s="133"/>
    </row>
    <row r="36" spans="1:14" ht="15" customHeight="1" x14ac:dyDescent="0.2">
      <c r="A36" s="38">
        <v>5</v>
      </c>
      <c r="B36" s="73">
        <f t="shared" si="2"/>
        <v>227.76299208176002</v>
      </c>
      <c r="C36" s="74">
        <f t="shared" si="0"/>
        <v>249</v>
      </c>
      <c r="D36" s="73">
        <f t="shared" si="3"/>
        <v>79.854299999999995</v>
      </c>
      <c r="E36" s="38">
        <v>5</v>
      </c>
      <c r="F36" s="73">
        <f t="shared" si="4"/>
        <v>296.09193585718674</v>
      </c>
      <c r="G36" s="73">
        <f t="shared" si="1"/>
        <v>94.956683829399779</v>
      </c>
      <c r="I36" s="257" t="s">
        <v>66</v>
      </c>
      <c r="J36" s="257"/>
      <c r="K36" s="257"/>
      <c r="L36" s="257"/>
      <c r="M36" s="258" t="s">
        <v>98</v>
      </c>
      <c r="N36" s="133"/>
    </row>
    <row r="37" spans="1:14" ht="15" customHeight="1" x14ac:dyDescent="0.2">
      <c r="A37" s="38">
        <v>4</v>
      </c>
      <c r="B37" s="73">
        <f t="shared" si="2"/>
        <v>182.21039366540802</v>
      </c>
      <c r="C37" s="74">
        <f t="shared" si="0"/>
        <v>199.2</v>
      </c>
      <c r="D37" s="73">
        <f t="shared" si="3"/>
        <v>63.883439999999993</v>
      </c>
      <c r="E37" s="38">
        <v>4</v>
      </c>
      <c r="F37" s="73">
        <f t="shared" si="4"/>
        <v>236.87354868574937</v>
      </c>
      <c r="G37" s="73">
        <f t="shared" si="1"/>
        <v>75.965347063519815</v>
      </c>
      <c r="I37" s="257"/>
      <c r="J37" s="257"/>
      <c r="K37" s="257"/>
      <c r="L37" s="257"/>
      <c r="M37" s="258"/>
      <c r="N37" s="133"/>
    </row>
    <row r="38" spans="1:14" ht="15" customHeight="1" x14ac:dyDescent="0.2">
      <c r="A38" s="38">
        <v>3</v>
      </c>
      <c r="B38" s="73">
        <f t="shared" si="2"/>
        <v>136.65779524905602</v>
      </c>
      <c r="C38" s="74">
        <f t="shared" si="0"/>
        <v>149.39999999999998</v>
      </c>
      <c r="D38" s="73">
        <f t="shared" si="3"/>
        <v>47.912579999999991</v>
      </c>
      <c r="E38" s="38">
        <v>3</v>
      </c>
      <c r="F38" s="73">
        <f t="shared" si="4"/>
        <v>177.655161514312</v>
      </c>
      <c r="G38" s="73">
        <f t="shared" si="1"/>
        <v>56.974010297639857</v>
      </c>
      <c r="I38" s="5"/>
    </row>
    <row r="39" spans="1:14" ht="15" customHeight="1" x14ac:dyDescent="0.2">
      <c r="A39" s="38">
        <v>2</v>
      </c>
      <c r="B39" s="73">
        <f t="shared" si="2"/>
        <v>91.10519683270401</v>
      </c>
      <c r="C39" s="74">
        <f t="shared" si="0"/>
        <v>99.6</v>
      </c>
      <c r="D39" s="73">
        <f t="shared" si="3"/>
        <v>31.941719999999997</v>
      </c>
      <c r="E39" s="38">
        <v>2</v>
      </c>
      <c r="F39" s="73">
        <f t="shared" si="4"/>
        <v>118.43677434287468</v>
      </c>
      <c r="G39" s="73">
        <f t="shared" si="1"/>
        <v>37.982673531759907</v>
      </c>
      <c r="I39" s="5"/>
    </row>
    <row r="40" spans="1:14" ht="15" customHeight="1" x14ac:dyDescent="0.2">
      <c r="A40" s="39">
        <v>1</v>
      </c>
      <c r="B40" s="75">
        <f t="shared" si="2"/>
        <v>45.552598416352005</v>
      </c>
      <c r="C40" s="76">
        <f t="shared" si="0"/>
        <v>49.8</v>
      </c>
      <c r="D40" s="75">
        <f t="shared" si="3"/>
        <v>15.970859999999998</v>
      </c>
      <c r="E40" s="39">
        <v>1</v>
      </c>
      <c r="F40" s="75">
        <f t="shared" si="4"/>
        <v>59.218387171437342</v>
      </c>
      <c r="G40" s="75">
        <f t="shared" si="1"/>
        <v>18.991336765879954</v>
      </c>
      <c r="I40" s="5"/>
    </row>
    <row r="41" spans="1:14" hidden="1" x14ac:dyDescent="0.2"/>
    <row r="42" spans="1:14" ht="15" hidden="1" thickBot="1" x14ac:dyDescent="0.25">
      <c r="C42" s="208" t="s">
        <v>94</v>
      </c>
    </row>
    <row r="43" spans="1:14" s="21" customFormat="1" ht="31.5" hidden="1" customHeight="1" thickBot="1" x14ac:dyDescent="0.25">
      <c r="A43" s="187"/>
      <c r="B43" s="203" t="s">
        <v>13</v>
      </c>
      <c r="C43" s="204">
        <v>11.62</v>
      </c>
      <c r="D43" s="188"/>
      <c r="E43" s="189"/>
      <c r="F43" s="188"/>
      <c r="G43" s="188"/>
      <c r="I43" s="190"/>
    </row>
    <row r="44" spans="1:14" hidden="1" x14ac:dyDescent="0.2"/>
  </sheetData>
  <sheetProtection algorithmName="SHA-512" hashValue="kgMYK1g5rovw8P4GZ++owGgjvvm75JJjbuXUfBlzf2WQuAYqJayfpcZjl1ruu14VEjAIA/sBCLANd474y2XwDA==" saltValue="nQRNU7xVR4UjKzIFcf/h+A==" spinCount="100000" sheet="1" objects="1" scenarios="1"/>
  <protectedRanges>
    <protectedRange sqref="M36" name="CALCULO RC"/>
    <protectedRange sqref="L23" name="DED_1"/>
    <protectedRange sqref="L8" name="RET TC_2"/>
    <protectedRange sqref="L26" name="RET TP_1"/>
  </protectedRanges>
  <mergeCells count="36">
    <mergeCell ref="A1:G1"/>
    <mergeCell ref="B2:D2"/>
    <mergeCell ref="F2:G2"/>
    <mergeCell ref="I2:K2"/>
    <mergeCell ref="L2:M2"/>
    <mergeCell ref="I1:M1"/>
    <mergeCell ref="I4:I5"/>
    <mergeCell ref="J4:J5"/>
    <mergeCell ref="K4:K5"/>
    <mergeCell ref="L4:L5"/>
    <mergeCell ref="M4:M5"/>
    <mergeCell ref="I8:K9"/>
    <mergeCell ref="L8:L9"/>
    <mergeCell ref="I11:L12"/>
    <mergeCell ref="I14:I15"/>
    <mergeCell ref="J14:J15"/>
    <mergeCell ref="K14:K15"/>
    <mergeCell ref="L14:L15"/>
    <mergeCell ref="I16:I17"/>
    <mergeCell ref="J16:J17"/>
    <mergeCell ref="K16:K17"/>
    <mergeCell ref="L16:L17"/>
    <mergeCell ref="I18:J18"/>
    <mergeCell ref="I20:N21"/>
    <mergeCell ref="I23:K24"/>
    <mergeCell ref="L23:L24"/>
    <mergeCell ref="I26:K27"/>
    <mergeCell ref="L26:L27"/>
    <mergeCell ref="I34:K34"/>
    <mergeCell ref="I36:L37"/>
    <mergeCell ref="M36:M37"/>
    <mergeCell ref="I29:L30"/>
    <mergeCell ref="I32:I33"/>
    <mergeCell ref="J32:J33"/>
    <mergeCell ref="K32:K33"/>
    <mergeCell ref="L32:L33"/>
  </mergeCells>
  <hyperlinks>
    <hyperlink ref="M36:M37" r:id="rId1" display="CALCULO RC E INDEMNIZACION" xr:uid="{00000000-0004-0000-0300-000000000000}"/>
  </hyperlinks>
  <pageMargins left="0.94488188976377963" right="0.94488188976377963" top="0" bottom="0.39370078740157483" header="0" footer="0"/>
  <pageSetup paperSize="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4"/>
  <sheetViews>
    <sheetView topLeftCell="A3" zoomScale="96" zoomScaleNormal="96" workbookViewId="0">
      <selection activeCell="M10" sqref="M10"/>
    </sheetView>
  </sheetViews>
  <sheetFormatPr baseColWidth="10" defaultColWidth="11.5703125" defaultRowHeight="14.25" x14ac:dyDescent="0.2"/>
  <cols>
    <col min="1" max="1" width="18.42578125" style="4" customWidth="1"/>
    <col min="2" max="2" width="44.42578125" style="4" customWidth="1"/>
    <col min="3" max="3" width="8.28515625" style="6" hidden="1" customWidth="1"/>
    <col min="4" max="4" width="18.42578125" style="4" customWidth="1"/>
    <col min="5" max="5" width="18.42578125" style="5" customWidth="1"/>
    <col min="6" max="6" width="24.7109375" style="4" customWidth="1"/>
    <col min="7" max="7" width="18.42578125" style="4" customWidth="1"/>
    <col min="8" max="8" width="11.5703125" style="5"/>
    <col min="9" max="9" width="17.7109375" style="7" customWidth="1"/>
    <col min="10" max="10" width="18.7109375" style="5" customWidth="1"/>
    <col min="11" max="11" width="19.42578125" style="5" customWidth="1"/>
    <col min="12" max="12" width="16" style="5" customWidth="1"/>
    <col min="13" max="13" width="16.85546875" style="5" customWidth="1"/>
    <col min="14" max="14" width="13.28515625" style="5" bestFit="1" customWidth="1"/>
    <col min="15" max="16384" width="11.5703125" style="5"/>
  </cols>
  <sheetData>
    <row r="1" spans="1:14" s="8" customFormat="1" ht="42.6" customHeight="1" x14ac:dyDescent="0.2">
      <c r="A1" s="233" t="s">
        <v>110</v>
      </c>
      <c r="B1" s="234"/>
      <c r="C1" s="234"/>
      <c r="D1" s="234"/>
      <c r="E1" s="234"/>
      <c r="F1" s="234"/>
      <c r="G1" s="234"/>
      <c r="I1" s="238" t="s">
        <v>113</v>
      </c>
      <c r="J1" s="239"/>
      <c r="K1" s="239"/>
      <c r="L1" s="239"/>
      <c r="M1" s="240"/>
    </row>
    <row r="2" spans="1:14" s="36" customFormat="1" ht="24.75" customHeight="1" x14ac:dyDescent="0.2">
      <c r="A2" s="44"/>
      <c r="B2" s="299" t="s">
        <v>45</v>
      </c>
      <c r="C2" s="299"/>
      <c r="D2" s="300"/>
      <c r="E2" s="42"/>
      <c r="F2" s="299" t="s">
        <v>46</v>
      </c>
      <c r="G2" s="300"/>
      <c r="I2" s="228" t="s">
        <v>48</v>
      </c>
      <c r="J2" s="228"/>
      <c r="K2" s="228"/>
      <c r="L2" s="228" t="s">
        <v>52</v>
      </c>
      <c r="M2" s="228"/>
    </row>
    <row r="3" spans="1:14" s="27" customFormat="1" ht="38.25" x14ac:dyDescent="0.2">
      <c r="A3" s="43" t="s">
        <v>43</v>
      </c>
      <c r="B3" s="65" t="s">
        <v>44</v>
      </c>
      <c r="C3" s="214" t="s">
        <v>14</v>
      </c>
      <c r="D3" s="67" t="s">
        <v>106</v>
      </c>
      <c r="E3" s="40" t="s">
        <v>43</v>
      </c>
      <c r="F3" s="65" t="s">
        <v>44</v>
      </c>
      <c r="G3" s="67" t="s">
        <v>107</v>
      </c>
      <c r="I3" s="121" t="s">
        <v>47</v>
      </c>
      <c r="J3" s="121" t="s">
        <v>58</v>
      </c>
      <c r="K3" s="121" t="s">
        <v>59</v>
      </c>
      <c r="L3" s="122" t="s">
        <v>50</v>
      </c>
      <c r="M3" s="121" t="s">
        <v>51</v>
      </c>
    </row>
    <row r="4" spans="1:14" ht="15" customHeight="1" x14ac:dyDescent="0.2">
      <c r="A4" s="37">
        <v>37.5</v>
      </c>
      <c r="B4" s="71">
        <f>PARAMETROS!B6</f>
        <v>1607.7386658324999</v>
      </c>
      <c r="C4" s="72"/>
      <c r="D4" s="71"/>
      <c r="E4" s="37">
        <v>37.5</v>
      </c>
      <c r="F4" s="71">
        <f>PARAMETROS!C6</f>
        <v>2090.0594002529001</v>
      </c>
      <c r="G4" s="71">
        <f>IF(F4&gt;$K$4,$K$4*$K$18%,F4*$K$18%)</f>
        <v>670.28204966110502</v>
      </c>
      <c r="I4" s="235">
        <v>1</v>
      </c>
      <c r="J4" s="236">
        <v>1929</v>
      </c>
      <c r="K4" s="236">
        <v>4909.5</v>
      </c>
      <c r="L4" s="231">
        <v>1381.2</v>
      </c>
      <c r="M4" s="231">
        <v>4909.5</v>
      </c>
      <c r="N4" s="8"/>
    </row>
    <row r="5" spans="1:14" ht="15" customHeight="1" x14ac:dyDescent="0.2">
      <c r="A5" s="38">
        <v>36</v>
      </c>
      <c r="B5" s="73">
        <f>PRODUCT(B$4,A5)/A$4</f>
        <v>1543.4291191991999</v>
      </c>
      <c r="C5" s="74">
        <f t="shared" ref="C5:C40" si="0">(A5/$A$4*7.5*5)/7*30*$C$43</f>
        <v>1792.8000000000002</v>
      </c>
      <c r="D5" s="73">
        <f>IF(B5&lt;C5,C5*$K$18%,B5*$K$18%)</f>
        <v>574.95096000000001</v>
      </c>
      <c r="E5" s="38">
        <v>36</v>
      </c>
      <c r="F5" s="73">
        <f>PRODUCT(F$4,E5)/E$4</f>
        <v>2006.457024242784</v>
      </c>
      <c r="G5" s="73">
        <f t="shared" ref="G5:G40" si="1">IF(F5&gt;$K$4,$K$4*$K$18%,F5*$K$18%)</f>
        <v>643.47076767466081</v>
      </c>
      <c r="I5" s="235"/>
      <c r="J5" s="237"/>
      <c r="K5" s="237"/>
      <c r="L5" s="232"/>
      <c r="M5" s="232"/>
      <c r="N5" s="8"/>
    </row>
    <row r="6" spans="1:14" ht="15" customHeight="1" x14ac:dyDescent="0.2">
      <c r="A6" s="38">
        <v>35</v>
      </c>
      <c r="B6" s="73">
        <f t="shared" ref="B6:B40" si="2">PRODUCT(B$4,A6)/A$4</f>
        <v>1500.5560881103333</v>
      </c>
      <c r="C6" s="74">
        <f t="shared" si="0"/>
        <v>1742.9999999999998</v>
      </c>
      <c r="D6" s="73">
        <f t="shared" ref="D6:D40" si="3">IF(B6&lt;C6,C6*$K$18%,B6*$K$18%)</f>
        <v>558.98009999999988</v>
      </c>
      <c r="E6" s="38">
        <v>35</v>
      </c>
      <c r="F6" s="73">
        <f t="shared" ref="F6:F40" si="4">PRODUCT(F$4,E6)/E$4</f>
        <v>1950.7221069027069</v>
      </c>
      <c r="G6" s="73">
        <f t="shared" si="1"/>
        <v>625.59657968369811</v>
      </c>
      <c r="I6" s="35"/>
      <c r="J6" s="8"/>
      <c r="K6" s="8"/>
      <c r="L6" s="112"/>
      <c r="M6" s="8"/>
      <c r="N6" s="8"/>
    </row>
    <row r="7" spans="1:14" ht="15" customHeight="1" thickBot="1" x14ac:dyDescent="0.25">
      <c r="A7" s="38">
        <v>34</v>
      </c>
      <c r="B7" s="73">
        <f t="shared" si="2"/>
        <v>1457.6830570214668</v>
      </c>
      <c r="C7" s="74">
        <f t="shared" si="0"/>
        <v>1693.1999999999996</v>
      </c>
      <c r="D7" s="73">
        <f t="shared" si="3"/>
        <v>543.00923999999986</v>
      </c>
      <c r="E7" s="38">
        <v>34</v>
      </c>
      <c r="F7" s="73">
        <f t="shared" si="4"/>
        <v>1894.9871895626295</v>
      </c>
      <c r="G7" s="73">
        <f t="shared" si="1"/>
        <v>607.7223916927353</v>
      </c>
      <c r="I7" s="35"/>
      <c r="J7" s="19"/>
      <c r="K7" s="8"/>
      <c r="L7" s="112"/>
      <c r="M7" s="8"/>
      <c r="N7" s="8"/>
    </row>
    <row r="8" spans="1:14" ht="15" customHeight="1" x14ac:dyDescent="0.2">
      <c r="A8" s="38">
        <v>33</v>
      </c>
      <c r="B8" s="73">
        <f t="shared" si="2"/>
        <v>1414.8100259326</v>
      </c>
      <c r="C8" s="74">
        <f t="shared" si="0"/>
        <v>1643.4</v>
      </c>
      <c r="D8" s="73">
        <f t="shared" si="3"/>
        <v>527.03837999999996</v>
      </c>
      <c r="E8" s="38">
        <v>33</v>
      </c>
      <c r="F8" s="73">
        <f t="shared" si="4"/>
        <v>1839.2522722225519</v>
      </c>
      <c r="G8" s="73">
        <f t="shared" si="1"/>
        <v>589.84820370177238</v>
      </c>
      <c r="I8" s="218" t="s">
        <v>88</v>
      </c>
      <c r="J8" s="218"/>
      <c r="K8" s="219"/>
      <c r="L8" s="216">
        <v>0</v>
      </c>
      <c r="M8" s="8"/>
      <c r="N8" s="149"/>
    </row>
    <row r="9" spans="1:14" ht="15" customHeight="1" thickBot="1" x14ac:dyDescent="0.25">
      <c r="A9" s="38">
        <v>32</v>
      </c>
      <c r="B9" s="73">
        <f t="shared" si="2"/>
        <v>1371.9369948437334</v>
      </c>
      <c r="C9" s="74">
        <f t="shared" si="0"/>
        <v>1593.6</v>
      </c>
      <c r="D9" s="73">
        <f t="shared" si="3"/>
        <v>511.06751999999994</v>
      </c>
      <c r="E9" s="38">
        <v>32</v>
      </c>
      <c r="F9" s="73">
        <f t="shared" si="4"/>
        <v>1783.5173548824748</v>
      </c>
      <c r="G9" s="73">
        <f t="shared" si="1"/>
        <v>571.97401571080968</v>
      </c>
      <c r="I9" s="218"/>
      <c r="J9" s="218"/>
      <c r="K9" s="219"/>
      <c r="L9" s="217"/>
      <c r="M9" s="8"/>
      <c r="N9" s="8"/>
    </row>
    <row r="10" spans="1:14" ht="15" customHeight="1" thickBot="1" x14ac:dyDescent="0.25">
      <c r="A10" s="38">
        <v>31</v>
      </c>
      <c r="B10" s="73">
        <f t="shared" si="2"/>
        <v>1329.0639637548666</v>
      </c>
      <c r="C10" s="74">
        <f t="shared" si="0"/>
        <v>1543.8</v>
      </c>
      <c r="D10" s="73">
        <f t="shared" si="3"/>
        <v>495.09665999999999</v>
      </c>
      <c r="E10" s="38">
        <v>31</v>
      </c>
      <c r="F10" s="73">
        <f t="shared" si="4"/>
        <v>1727.7824375423972</v>
      </c>
      <c r="G10" s="73">
        <f t="shared" si="1"/>
        <v>554.09982771984676</v>
      </c>
      <c r="I10" s="117"/>
      <c r="J10" s="118"/>
      <c r="K10" s="119"/>
      <c r="L10" s="120"/>
      <c r="M10" s="8"/>
      <c r="N10" s="8"/>
    </row>
    <row r="11" spans="1:14" ht="15" customHeight="1" x14ac:dyDescent="0.2">
      <c r="A11" s="38">
        <v>30</v>
      </c>
      <c r="B11" s="73">
        <f t="shared" si="2"/>
        <v>1286.1909326659998</v>
      </c>
      <c r="C11" s="74">
        <f t="shared" si="0"/>
        <v>1493.9999999999998</v>
      </c>
      <c r="D11" s="73">
        <f t="shared" si="3"/>
        <v>479.12579999999991</v>
      </c>
      <c r="E11" s="38">
        <v>30</v>
      </c>
      <c r="F11" s="73">
        <f t="shared" si="4"/>
        <v>1672.0475202023201</v>
      </c>
      <c r="G11" s="73">
        <f t="shared" si="1"/>
        <v>536.22563972888406</v>
      </c>
      <c r="I11" s="220" t="s">
        <v>60</v>
      </c>
      <c r="J11" s="221"/>
      <c r="K11" s="221"/>
      <c r="L11" s="222"/>
      <c r="M11" s="8"/>
      <c r="N11" s="8"/>
    </row>
    <row r="12" spans="1:14" ht="15" customHeight="1" thickBot="1" x14ac:dyDescent="0.25">
      <c r="A12" s="38">
        <v>29</v>
      </c>
      <c r="B12" s="73">
        <f t="shared" si="2"/>
        <v>1243.3179015771332</v>
      </c>
      <c r="C12" s="74">
        <f t="shared" si="0"/>
        <v>1444.2</v>
      </c>
      <c r="D12" s="73">
        <f t="shared" si="3"/>
        <v>463.15494000000001</v>
      </c>
      <c r="E12" s="38">
        <v>29</v>
      </c>
      <c r="F12" s="73">
        <f t="shared" si="4"/>
        <v>1616.3126028622428</v>
      </c>
      <c r="G12" s="73">
        <f t="shared" si="1"/>
        <v>518.35145173792125</v>
      </c>
      <c r="I12" s="223"/>
      <c r="J12" s="224"/>
      <c r="K12" s="224"/>
      <c r="L12" s="225"/>
      <c r="M12" s="8"/>
      <c r="N12" s="8"/>
    </row>
    <row r="13" spans="1:14" ht="15" customHeight="1" thickBot="1" x14ac:dyDescent="0.25">
      <c r="A13" s="38">
        <v>28</v>
      </c>
      <c r="B13" s="73">
        <f t="shared" si="2"/>
        <v>1200.4448704882666</v>
      </c>
      <c r="C13" s="74">
        <f t="shared" si="0"/>
        <v>1394.4000000000003</v>
      </c>
      <c r="D13" s="73">
        <f t="shared" si="3"/>
        <v>447.18408000000011</v>
      </c>
      <c r="E13" s="38">
        <v>28</v>
      </c>
      <c r="F13" s="73">
        <f t="shared" si="4"/>
        <v>1560.5776855221654</v>
      </c>
      <c r="G13" s="73">
        <f t="shared" si="1"/>
        <v>500.47726374695844</v>
      </c>
      <c r="I13" s="114"/>
      <c r="J13" s="115" t="s">
        <v>53</v>
      </c>
      <c r="K13" s="130" t="s">
        <v>54</v>
      </c>
      <c r="L13" s="116" t="s">
        <v>55</v>
      </c>
      <c r="M13" s="8"/>
      <c r="N13" s="8"/>
    </row>
    <row r="14" spans="1:14" ht="15" customHeight="1" x14ac:dyDescent="0.2">
      <c r="A14" s="38">
        <v>27</v>
      </c>
      <c r="B14" s="73">
        <f t="shared" si="2"/>
        <v>1157.5718393993998</v>
      </c>
      <c r="C14" s="74">
        <f t="shared" si="0"/>
        <v>1344.6</v>
      </c>
      <c r="D14" s="73">
        <f t="shared" si="3"/>
        <v>431.21321999999998</v>
      </c>
      <c r="E14" s="38">
        <v>27</v>
      </c>
      <c r="F14" s="73">
        <f t="shared" si="4"/>
        <v>1504.8427681820881</v>
      </c>
      <c r="G14" s="73">
        <f t="shared" si="1"/>
        <v>482.60307575599563</v>
      </c>
      <c r="I14" s="226" t="s">
        <v>56</v>
      </c>
      <c r="J14" s="245">
        <f>IF(L8&gt;=J4,L8,J4)</f>
        <v>1929</v>
      </c>
      <c r="K14" s="241">
        <v>24.27</v>
      </c>
      <c r="L14" s="247">
        <f>J14*K14%</f>
        <v>468.16829999999999</v>
      </c>
      <c r="M14" s="8"/>
      <c r="N14" s="8"/>
    </row>
    <row r="15" spans="1:14" ht="15" customHeight="1" thickBot="1" x14ac:dyDescent="0.25">
      <c r="A15" s="38">
        <v>26</v>
      </c>
      <c r="B15" s="73">
        <f t="shared" si="2"/>
        <v>1114.6988083105332</v>
      </c>
      <c r="C15" s="74">
        <f t="shared" si="0"/>
        <v>1294.8</v>
      </c>
      <c r="D15" s="73">
        <f t="shared" si="3"/>
        <v>415.24235999999996</v>
      </c>
      <c r="E15" s="38">
        <v>26</v>
      </c>
      <c r="F15" s="73">
        <f t="shared" si="4"/>
        <v>1449.1078508420107</v>
      </c>
      <c r="G15" s="73">
        <f t="shared" si="1"/>
        <v>464.72888776503282</v>
      </c>
      <c r="I15" s="227"/>
      <c r="J15" s="246"/>
      <c r="K15" s="242"/>
      <c r="L15" s="248"/>
      <c r="M15" s="8"/>
      <c r="N15" s="8"/>
    </row>
    <row r="16" spans="1:14" ht="15" customHeight="1" x14ac:dyDescent="0.2">
      <c r="A16" s="38">
        <v>25</v>
      </c>
      <c r="B16" s="73">
        <f t="shared" si="2"/>
        <v>1071.8257772216666</v>
      </c>
      <c r="C16" s="74">
        <f t="shared" si="0"/>
        <v>1245</v>
      </c>
      <c r="D16" s="73">
        <f t="shared" si="3"/>
        <v>399.2715</v>
      </c>
      <c r="E16" s="38">
        <v>25</v>
      </c>
      <c r="F16" s="73">
        <f t="shared" si="4"/>
        <v>1393.3729335019334</v>
      </c>
      <c r="G16" s="73">
        <f t="shared" si="1"/>
        <v>446.85469977407001</v>
      </c>
      <c r="I16" s="243" t="s">
        <v>57</v>
      </c>
      <c r="J16" s="245">
        <f>IF(L8&gt;=L4,L8,L4)</f>
        <v>1381.2</v>
      </c>
      <c r="K16" s="241">
        <v>7.8</v>
      </c>
      <c r="L16" s="252">
        <f>J16*K16%</f>
        <v>107.73360000000001</v>
      </c>
      <c r="M16" s="8"/>
      <c r="N16" s="8"/>
    </row>
    <row r="17" spans="1:14" ht="15" customHeight="1" thickBot="1" x14ac:dyDescent="0.25">
      <c r="A17" s="38">
        <v>24</v>
      </c>
      <c r="B17" s="73">
        <f t="shared" si="2"/>
        <v>1028.9527461328</v>
      </c>
      <c r="C17" s="74">
        <f t="shared" si="0"/>
        <v>1195.1999999999998</v>
      </c>
      <c r="D17" s="73">
        <f t="shared" si="3"/>
        <v>383.30063999999993</v>
      </c>
      <c r="E17" s="38">
        <v>24</v>
      </c>
      <c r="F17" s="73">
        <f t="shared" si="4"/>
        <v>1337.6380161618561</v>
      </c>
      <c r="G17" s="73">
        <f t="shared" si="1"/>
        <v>428.9805117831072</v>
      </c>
      <c r="I17" s="244"/>
      <c r="J17" s="246"/>
      <c r="K17" s="242">
        <v>0.2</v>
      </c>
      <c r="L17" s="253"/>
      <c r="M17" s="8"/>
      <c r="N17" s="8"/>
    </row>
    <row r="18" spans="1:14" ht="15" customHeight="1" thickBot="1" x14ac:dyDescent="0.25">
      <c r="A18" s="38">
        <v>23</v>
      </c>
      <c r="B18" s="73">
        <f t="shared" si="2"/>
        <v>986.07971504393322</v>
      </c>
      <c r="C18" s="74">
        <f t="shared" si="0"/>
        <v>1145.3999999999999</v>
      </c>
      <c r="D18" s="73">
        <f t="shared" si="3"/>
        <v>367.32977999999991</v>
      </c>
      <c r="E18" s="38">
        <v>23</v>
      </c>
      <c r="F18" s="73">
        <f t="shared" si="4"/>
        <v>1281.9030988217787</v>
      </c>
      <c r="G18" s="73">
        <f t="shared" si="1"/>
        <v>411.10632379214439</v>
      </c>
      <c r="I18" s="250" t="s">
        <v>61</v>
      </c>
      <c r="J18" s="251"/>
      <c r="K18" s="131">
        <f>(K14+K16)</f>
        <v>32.07</v>
      </c>
      <c r="L18" s="127">
        <f>SUM(L14:L17)</f>
        <v>575.90189999999996</v>
      </c>
      <c r="M18" s="8"/>
      <c r="N18" s="8"/>
    </row>
    <row r="19" spans="1:14" ht="15" customHeight="1" x14ac:dyDescent="0.2">
      <c r="A19" s="38">
        <v>22</v>
      </c>
      <c r="B19" s="73">
        <f t="shared" si="2"/>
        <v>943.20668395506664</v>
      </c>
      <c r="C19" s="74">
        <f t="shared" si="0"/>
        <v>1095.5999999999999</v>
      </c>
      <c r="D19" s="73">
        <f t="shared" si="3"/>
        <v>351.35891999999996</v>
      </c>
      <c r="E19" s="38">
        <v>22</v>
      </c>
      <c r="F19" s="73">
        <f t="shared" si="4"/>
        <v>1226.1681814817014</v>
      </c>
      <c r="G19" s="73">
        <f t="shared" si="1"/>
        <v>393.23213580118158</v>
      </c>
      <c r="I19" s="123"/>
      <c r="J19" s="124"/>
      <c r="K19" s="125"/>
      <c r="L19" s="126"/>
      <c r="M19" s="8"/>
      <c r="N19" s="8"/>
    </row>
    <row r="20" spans="1:14" ht="15" customHeight="1" x14ac:dyDescent="0.2">
      <c r="A20" s="38">
        <v>21</v>
      </c>
      <c r="B20" s="73">
        <f t="shared" si="2"/>
        <v>900.33365286620005</v>
      </c>
      <c r="C20" s="74">
        <f t="shared" si="0"/>
        <v>1045.8</v>
      </c>
      <c r="D20" s="73">
        <f t="shared" si="3"/>
        <v>335.38806</v>
      </c>
      <c r="E20" s="38">
        <v>21</v>
      </c>
      <c r="F20" s="73">
        <f t="shared" si="4"/>
        <v>1170.433264141624</v>
      </c>
      <c r="G20" s="73">
        <f t="shared" si="1"/>
        <v>375.35794781021883</v>
      </c>
      <c r="I20" s="272" t="s">
        <v>77</v>
      </c>
      <c r="J20" s="272"/>
      <c r="K20" s="272"/>
      <c r="L20" s="272"/>
      <c r="M20" s="272"/>
      <c r="N20" s="272"/>
    </row>
    <row r="21" spans="1:14" ht="15" customHeight="1" x14ac:dyDescent="0.2">
      <c r="A21" s="38">
        <v>20</v>
      </c>
      <c r="B21" s="73">
        <f t="shared" si="2"/>
        <v>857.46062177733324</v>
      </c>
      <c r="C21" s="74">
        <f t="shared" si="0"/>
        <v>996</v>
      </c>
      <c r="D21" s="73">
        <f t="shared" si="3"/>
        <v>319.41719999999998</v>
      </c>
      <c r="E21" s="38">
        <v>20</v>
      </c>
      <c r="F21" s="73">
        <f t="shared" si="4"/>
        <v>1114.6983468015467</v>
      </c>
      <c r="G21" s="73">
        <f t="shared" si="1"/>
        <v>357.48375981925602</v>
      </c>
      <c r="I21" s="272"/>
      <c r="J21" s="272"/>
      <c r="K21" s="272"/>
      <c r="L21" s="272"/>
      <c r="M21" s="272"/>
      <c r="N21" s="272"/>
    </row>
    <row r="22" spans="1:14" ht="15" customHeight="1" thickBot="1" x14ac:dyDescent="0.25">
      <c r="A22" s="38">
        <v>19</v>
      </c>
      <c r="B22" s="73">
        <f t="shared" si="2"/>
        <v>814.58759068846666</v>
      </c>
      <c r="C22" s="74">
        <f t="shared" si="0"/>
        <v>946.19999999999993</v>
      </c>
      <c r="D22" s="73">
        <f t="shared" si="3"/>
        <v>303.44633999999996</v>
      </c>
      <c r="E22" s="38">
        <v>19</v>
      </c>
      <c r="F22" s="73">
        <f t="shared" si="4"/>
        <v>1058.9634294614696</v>
      </c>
      <c r="G22" s="73">
        <f t="shared" si="1"/>
        <v>339.60957182829327</v>
      </c>
      <c r="I22" s="35"/>
      <c r="J22" s="19"/>
      <c r="K22" s="8"/>
      <c r="L22" s="112"/>
      <c r="M22" s="8"/>
      <c r="N22" s="8"/>
    </row>
    <row r="23" spans="1:14" ht="15" customHeight="1" x14ac:dyDescent="0.2">
      <c r="A23" s="38">
        <v>18</v>
      </c>
      <c r="B23" s="73">
        <f t="shared" si="2"/>
        <v>771.71455959959997</v>
      </c>
      <c r="C23" s="74">
        <f t="shared" si="0"/>
        <v>896.40000000000009</v>
      </c>
      <c r="D23" s="73">
        <f t="shared" si="3"/>
        <v>287.47548</v>
      </c>
      <c r="E23" s="38">
        <v>18</v>
      </c>
      <c r="F23" s="73">
        <f t="shared" si="4"/>
        <v>1003.228512121392</v>
      </c>
      <c r="G23" s="73">
        <f t="shared" si="1"/>
        <v>321.7353838373304</v>
      </c>
      <c r="I23" s="218" t="s">
        <v>62</v>
      </c>
      <c r="J23" s="218"/>
      <c r="K23" s="219"/>
      <c r="L23" s="266"/>
      <c r="M23" s="8"/>
      <c r="N23" s="8"/>
    </row>
    <row r="24" spans="1:14" ht="15" customHeight="1" thickBot="1" x14ac:dyDescent="0.25">
      <c r="A24" s="38">
        <v>17</v>
      </c>
      <c r="B24" s="73">
        <f t="shared" si="2"/>
        <v>728.84152851073338</v>
      </c>
      <c r="C24" s="74">
        <f t="shared" si="0"/>
        <v>846.5999999999998</v>
      </c>
      <c r="D24" s="73">
        <f t="shared" si="3"/>
        <v>271.50461999999993</v>
      </c>
      <c r="E24" s="38">
        <v>17</v>
      </c>
      <c r="F24" s="73">
        <f t="shared" si="4"/>
        <v>947.49359478131475</v>
      </c>
      <c r="G24" s="73">
        <f t="shared" si="1"/>
        <v>303.86119584636765</v>
      </c>
      <c r="I24" s="218"/>
      <c r="J24" s="218"/>
      <c r="K24" s="219"/>
      <c r="L24" s="267"/>
      <c r="M24" s="8"/>
      <c r="N24" s="8"/>
    </row>
    <row r="25" spans="1:14" ht="15" customHeight="1" thickBot="1" x14ac:dyDescent="0.25">
      <c r="A25" s="38">
        <v>16</v>
      </c>
      <c r="B25" s="73">
        <f t="shared" si="2"/>
        <v>685.96849742186669</v>
      </c>
      <c r="C25" s="74">
        <f t="shared" si="0"/>
        <v>796.8</v>
      </c>
      <c r="D25" s="73">
        <f t="shared" si="3"/>
        <v>255.53375999999997</v>
      </c>
      <c r="E25" s="38">
        <v>16</v>
      </c>
      <c r="F25" s="73">
        <f t="shared" si="4"/>
        <v>891.75867744123741</v>
      </c>
      <c r="G25" s="73">
        <f t="shared" si="1"/>
        <v>285.98700785540484</v>
      </c>
      <c r="I25" s="35"/>
      <c r="J25" s="19"/>
      <c r="K25" s="8"/>
      <c r="L25" s="112"/>
      <c r="M25" s="8"/>
      <c r="N25" s="8"/>
    </row>
    <row r="26" spans="1:14" ht="15" customHeight="1" x14ac:dyDescent="0.2">
      <c r="A26" s="38">
        <v>15</v>
      </c>
      <c r="B26" s="73">
        <f t="shared" si="2"/>
        <v>643.09546633299988</v>
      </c>
      <c r="C26" s="74">
        <f t="shared" si="0"/>
        <v>746.99999999999989</v>
      </c>
      <c r="D26" s="73">
        <f t="shared" si="3"/>
        <v>239.56289999999996</v>
      </c>
      <c r="E26" s="38">
        <v>15</v>
      </c>
      <c r="F26" s="73">
        <f t="shared" si="4"/>
        <v>836.02376010116006</v>
      </c>
      <c r="G26" s="73">
        <f t="shared" si="1"/>
        <v>268.11281986444203</v>
      </c>
      <c r="I26" s="218" t="s">
        <v>67</v>
      </c>
      <c r="J26" s="218"/>
      <c r="K26" s="219"/>
      <c r="L26" s="216"/>
      <c r="M26" s="8"/>
      <c r="N26" s="8"/>
    </row>
    <row r="27" spans="1:14" ht="15" customHeight="1" thickBot="1" x14ac:dyDescent="0.25">
      <c r="A27" s="38">
        <v>14</v>
      </c>
      <c r="B27" s="73">
        <f t="shared" si="2"/>
        <v>600.22243524413329</v>
      </c>
      <c r="C27" s="74">
        <f t="shared" si="0"/>
        <v>697.20000000000016</v>
      </c>
      <c r="D27" s="73">
        <f t="shared" si="3"/>
        <v>223.59204000000005</v>
      </c>
      <c r="E27" s="38">
        <v>14</v>
      </c>
      <c r="F27" s="73">
        <f t="shared" si="4"/>
        <v>780.28884276108272</v>
      </c>
      <c r="G27" s="73">
        <f t="shared" si="1"/>
        <v>250.23863187347922</v>
      </c>
      <c r="I27" s="218"/>
      <c r="J27" s="218"/>
      <c r="K27" s="219"/>
      <c r="L27" s="217"/>
      <c r="M27" s="8"/>
      <c r="N27" s="8"/>
    </row>
    <row r="28" spans="1:14" ht="15" customHeight="1" thickBot="1" x14ac:dyDescent="0.25">
      <c r="A28" s="38">
        <v>13</v>
      </c>
      <c r="B28" s="73">
        <f t="shared" si="2"/>
        <v>557.3494041552666</v>
      </c>
      <c r="C28" s="74">
        <f t="shared" si="0"/>
        <v>647.4</v>
      </c>
      <c r="D28" s="73">
        <f t="shared" si="3"/>
        <v>207.62117999999998</v>
      </c>
      <c r="E28" s="38">
        <v>13</v>
      </c>
      <c r="F28" s="73">
        <f t="shared" si="4"/>
        <v>724.55392542100537</v>
      </c>
      <c r="G28" s="73">
        <f t="shared" si="1"/>
        <v>232.36444388251641</v>
      </c>
      <c r="I28" s="35"/>
      <c r="J28" s="19"/>
      <c r="K28" s="8"/>
      <c r="L28" s="112"/>
      <c r="M28" s="8"/>
      <c r="N28" s="8"/>
    </row>
    <row r="29" spans="1:14" ht="15" customHeight="1" x14ac:dyDescent="0.2">
      <c r="A29" s="38">
        <v>12</v>
      </c>
      <c r="B29" s="73">
        <f t="shared" si="2"/>
        <v>514.47637306640001</v>
      </c>
      <c r="C29" s="74">
        <f t="shared" si="0"/>
        <v>597.59999999999991</v>
      </c>
      <c r="D29" s="73">
        <f t="shared" si="3"/>
        <v>191.65031999999997</v>
      </c>
      <c r="E29" s="38">
        <v>12</v>
      </c>
      <c r="F29" s="73">
        <f t="shared" si="4"/>
        <v>668.81900808092803</v>
      </c>
      <c r="G29" s="73">
        <f t="shared" si="1"/>
        <v>214.4902558915536</v>
      </c>
      <c r="I29" s="220" t="s">
        <v>63</v>
      </c>
      <c r="J29" s="221"/>
      <c r="K29" s="221"/>
      <c r="L29" s="222"/>
      <c r="M29" s="8"/>
      <c r="N29" s="8"/>
    </row>
    <row r="30" spans="1:14" ht="15" customHeight="1" thickBot="1" x14ac:dyDescent="0.25">
      <c r="A30" s="38">
        <v>11</v>
      </c>
      <c r="B30" s="73">
        <f t="shared" si="2"/>
        <v>471.60334197753332</v>
      </c>
      <c r="C30" s="74">
        <f t="shared" si="0"/>
        <v>547.79999999999995</v>
      </c>
      <c r="D30" s="73">
        <f t="shared" si="3"/>
        <v>175.67945999999998</v>
      </c>
      <c r="E30" s="38">
        <v>11</v>
      </c>
      <c r="F30" s="73">
        <f t="shared" si="4"/>
        <v>613.08409074085068</v>
      </c>
      <c r="G30" s="73">
        <f t="shared" si="1"/>
        <v>196.61606790059079</v>
      </c>
      <c r="I30" s="223"/>
      <c r="J30" s="224"/>
      <c r="K30" s="224"/>
      <c r="L30" s="225"/>
      <c r="M30" s="8"/>
      <c r="N30" s="8"/>
    </row>
    <row r="31" spans="1:14" ht="15" customHeight="1" thickBot="1" x14ac:dyDescent="0.25">
      <c r="A31" s="38">
        <v>10</v>
      </c>
      <c r="B31" s="73">
        <f t="shared" si="2"/>
        <v>428.73031088866662</v>
      </c>
      <c r="C31" s="74">
        <f t="shared" si="0"/>
        <v>498</v>
      </c>
      <c r="D31" s="73">
        <f t="shared" si="3"/>
        <v>159.70859999999999</v>
      </c>
      <c r="E31" s="38">
        <v>10</v>
      </c>
      <c r="F31" s="73">
        <f t="shared" si="4"/>
        <v>557.34917340077334</v>
      </c>
      <c r="G31" s="73">
        <f t="shared" si="1"/>
        <v>178.74187990962801</v>
      </c>
      <c r="I31" s="134" t="s">
        <v>68</v>
      </c>
      <c r="J31" s="132" t="s">
        <v>53</v>
      </c>
      <c r="K31" s="130" t="s">
        <v>69</v>
      </c>
      <c r="L31" s="116" t="s">
        <v>55</v>
      </c>
      <c r="M31" s="8"/>
      <c r="N31" s="8"/>
    </row>
    <row r="32" spans="1:14" ht="15" customHeight="1" x14ac:dyDescent="0.2">
      <c r="A32" s="38">
        <v>9</v>
      </c>
      <c r="B32" s="73">
        <f t="shared" si="2"/>
        <v>385.85727979979998</v>
      </c>
      <c r="C32" s="74">
        <f t="shared" si="0"/>
        <v>448.20000000000005</v>
      </c>
      <c r="D32" s="73">
        <f t="shared" si="3"/>
        <v>143.73774</v>
      </c>
      <c r="E32" s="38">
        <v>9</v>
      </c>
      <c r="F32" s="73">
        <f t="shared" si="4"/>
        <v>501.61425606069599</v>
      </c>
      <c r="G32" s="73">
        <f t="shared" si="1"/>
        <v>160.8676919186652</v>
      </c>
      <c r="I32" s="259">
        <f>((L23/37.5*7.5*5)/7)*30*$C$43</f>
        <v>0</v>
      </c>
      <c r="J32" s="261">
        <f>IF(L26&lt;I32,I32,L26)</f>
        <v>0</v>
      </c>
      <c r="K32" s="263">
        <v>32.07</v>
      </c>
      <c r="L32" s="252">
        <f>J32*K32%</f>
        <v>0</v>
      </c>
      <c r="M32" s="8"/>
      <c r="N32" s="8"/>
    </row>
    <row r="33" spans="1:14" ht="15" customHeight="1" thickBot="1" x14ac:dyDescent="0.25">
      <c r="A33" s="38">
        <v>8</v>
      </c>
      <c r="B33" s="73">
        <f t="shared" si="2"/>
        <v>342.98424871093334</v>
      </c>
      <c r="C33" s="74">
        <f t="shared" si="0"/>
        <v>398.4</v>
      </c>
      <c r="D33" s="73">
        <f t="shared" si="3"/>
        <v>127.76687999999999</v>
      </c>
      <c r="E33" s="38">
        <v>8</v>
      </c>
      <c r="F33" s="73">
        <f t="shared" si="4"/>
        <v>445.8793387206187</v>
      </c>
      <c r="G33" s="73">
        <f t="shared" si="1"/>
        <v>142.99350392770242</v>
      </c>
      <c r="I33" s="260"/>
      <c r="J33" s="262"/>
      <c r="K33" s="264"/>
      <c r="L33" s="265"/>
      <c r="M33" s="8"/>
      <c r="N33" s="8"/>
    </row>
    <row r="34" spans="1:14" ht="15" customHeight="1" thickBot="1" x14ac:dyDescent="0.25">
      <c r="A34" s="38">
        <v>7</v>
      </c>
      <c r="B34" s="73">
        <f t="shared" si="2"/>
        <v>300.11121762206665</v>
      </c>
      <c r="C34" s="74">
        <f t="shared" si="0"/>
        <v>348.60000000000008</v>
      </c>
      <c r="D34" s="73">
        <f t="shared" si="3"/>
        <v>111.79602000000003</v>
      </c>
      <c r="E34" s="38">
        <v>7</v>
      </c>
      <c r="F34" s="73">
        <f t="shared" si="4"/>
        <v>390.14442138054136</v>
      </c>
      <c r="G34" s="73">
        <f t="shared" si="1"/>
        <v>125.11931593673961</v>
      </c>
      <c r="I34" s="254" t="s">
        <v>64</v>
      </c>
      <c r="J34" s="255"/>
      <c r="K34" s="256"/>
      <c r="L34" s="127">
        <f>SUM(L32)</f>
        <v>0</v>
      </c>
      <c r="M34" s="8"/>
      <c r="N34" s="8"/>
    </row>
    <row r="35" spans="1:14" ht="15" customHeight="1" x14ac:dyDescent="0.2">
      <c r="A35" s="38">
        <v>6</v>
      </c>
      <c r="B35" s="73">
        <f t="shared" si="2"/>
        <v>257.23818653320001</v>
      </c>
      <c r="C35" s="74">
        <f t="shared" si="0"/>
        <v>298.79999999999995</v>
      </c>
      <c r="D35" s="73">
        <f t="shared" si="3"/>
        <v>95.825159999999983</v>
      </c>
      <c r="E35" s="38">
        <v>6</v>
      </c>
      <c r="F35" s="73">
        <f t="shared" si="4"/>
        <v>334.40950404046401</v>
      </c>
      <c r="G35" s="73">
        <f t="shared" si="1"/>
        <v>107.2451279457768</v>
      </c>
      <c r="I35" s="35"/>
      <c r="J35" s="19"/>
      <c r="K35" s="8"/>
      <c r="L35" s="112"/>
      <c r="M35" s="8"/>
      <c r="N35" s="133"/>
    </row>
    <row r="36" spans="1:14" ht="15" customHeight="1" x14ac:dyDescent="0.2">
      <c r="A36" s="38">
        <v>5</v>
      </c>
      <c r="B36" s="73">
        <f t="shared" si="2"/>
        <v>214.36515544433331</v>
      </c>
      <c r="C36" s="74">
        <f t="shared" si="0"/>
        <v>249</v>
      </c>
      <c r="D36" s="73">
        <f t="shared" si="3"/>
        <v>79.854299999999995</v>
      </c>
      <c r="E36" s="38">
        <v>5</v>
      </c>
      <c r="F36" s="73">
        <f t="shared" si="4"/>
        <v>278.67458670038667</v>
      </c>
      <c r="G36" s="73">
        <f t="shared" si="1"/>
        <v>89.370939954814006</v>
      </c>
      <c r="I36" s="257" t="s">
        <v>66</v>
      </c>
      <c r="J36" s="257"/>
      <c r="K36" s="257"/>
      <c r="L36" s="257"/>
      <c r="M36" s="258" t="s">
        <v>98</v>
      </c>
      <c r="N36" s="258"/>
    </row>
    <row r="37" spans="1:14" ht="15" customHeight="1" x14ac:dyDescent="0.2">
      <c r="A37" s="38">
        <v>4</v>
      </c>
      <c r="B37" s="73">
        <f t="shared" si="2"/>
        <v>171.49212435546667</v>
      </c>
      <c r="C37" s="74">
        <f t="shared" si="0"/>
        <v>199.2</v>
      </c>
      <c r="D37" s="73">
        <f t="shared" si="3"/>
        <v>63.883439999999993</v>
      </c>
      <c r="E37" s="38">
        <v>4</v>
      </c>
      <c r="F37" s="73">
        <f t="shared" si="4"/>
        <v>222.93966936030935</v>
      </c>
      <c r="G37" s="73">
        <f t="shared" si="1"/>
        <v>71.49675196385121</v>
      </c>
      <c r="I37" s="257"/>
      <c r="J37" s="257"/>
      <c r="K37" s="257"/>
      <c r="L37" s="257"/>
      <c r="M37" s="258"/>
      <c r="N37" s="258"/>
    </row>
    <row r="38" spans="1:14" ht="15" customHeight="1" x14ac:dyDescent="0.2">
      <c r="A38" s="38">
        <v>3</v>
      </c>
      <c r="B38" s="73">
        <f t="shared" si="2"/>
        <v>128.6190932666</v>
      </c>
      <c r="C38" s="74">
        <f t="shared" si="0"/>
        <v>149.39999999999998</v>
      </c>
      <c r="D38" s="73">
        <f t="shared" si="3"/>
        <v>47.912579999999991</v>
      </c>
      <c r="E38" s="38">
        <v>3</v>
      </c>
      <c r="F38" s="73">
        <f t="shared" si="4"/>
        <v>167.20475202023201</v>
      </c>
      <c r="G38" s="73">
        <f t="shared" si="1"/>
        <v>53.6225639728884</v>
      </c>
      <c r="I38" s="5"/>
    </row>
    <row r="39" spans="1:14" ht="15" customHeight="1" x14ac:dyDescent="0.2">
      <c r="A39" s="38">
        <v>2</v>
      </c>
      <c r="B39" s="73">
        <f t="shared" si="2"/>
        <v>85.746062177733336</v>
      </c>
      <c r="C39" s="74">
        <f t="shared" si="0"/>
        <v>99.6</v>
      </c>
      <c r="D39" s="73">
        <f t="shared" si="3"/>
        <v>31.941719999999997</v>
      </c>
      <c r="E39" s="38">
        <v>2</v>
      </c>
      <c r="F39" s="73">
        <f t="shared" si="4"/>
        <v>111.46983468015468</v>
      </c>
      <c r="G39" s="73">
        <f t="shared" si="1"/>
        <v>35.748375981925605</v>
      </c>
      <c r="I39" s="5"/>
    </row>
    <row r="40" spans="1:14" ht="15" customHeight="1" x14ac:dyDescent="0.2">
      <c r="A40" s="39">
        <v>1</v>
      </c>
      <c r="B40" s="75">
        <f t="shared" si="2"/>
        <v>42.873031088866668</v>
      </c>
      <c r="C40" s="76">
        <f t="shared" si="0"/>
        <v>49.8</v>
      </c>
      <c r="D40" s="75">
        <f t="shared" si="3"/>
        <v>15.970859999999998</v>
      </c>
      <c r="E40" s="39">
        <v>1</v>
      </c>
      <c r="F40" s="75">
        <f t="shared" si="4"/>
        <v>55.734917340077338</v>
      </c>
      <c r="G40" s="75">
        <f t="shared" si="1"/>
        <v>17.874187990962803</v>
      </c>
      <c r="I40" s="5"/>
    </row>
    <row r="41" spans="1:14" hidden="1" x14ac:dyDescent="0.2"/>
    <row r="42" spans="1:14" ht="15" hidden="1" thickBot="1" x14ac:dyDescent="0.25">
      <c r="C42" s="208" t="s">
        <v>94</v>
      </c>
    </row>
    <row r="43" spans="1:14" s="21" customFormat="1" ht="39.4" hidden="1" customHeight="1" thickBot="1" x14ac:dyDescent="0.25">
      <c r="A43" s="187"/>
      <c r="B43" s="205" t="s">
        <v>13</v>
      </c>
      <c r="C43" s="206">
        <v>11.62</v>
      </c>
      <c r="D43" s="187"/>
      <c r="E43" s="189"/>
      <c r="F43" s="187"/>
      <c r="G43" s="187"/>
      <c r="I43" s="190"/>
    </row>
    <row r="44" spans="1:14" hidden="1" x14ac:dyDescent="0.2"/>
  </sheetData>
  <sheetProtection algorithmName="SHA-512" hashValue="rXmmmAVGw3aFfgyZ2Ole4dYLdy3l878b3QUz4IF8y2C+bz4lHiueF/AirS1gsSvVj7UYNKOTVKb/ejgpR0z7Ig==" saltValue="vItQqRAEtlR2NrXjj+YRvQ==" spinCount="100000" sheet="1" objects="1" scenarios="1"/>
  <protectedRanges>
    <protectedRange sqref="M36" name="CALCULO RC"/>
    <protectedRange sqref="L8" name="RET TC_1"/>
    <protectedRange sqref="L23" name="DED_1"/>
    <protectedRange sqref="L26" name="RET TP_1"/>
  </protectedRanges>
  <mergeCells count="37">
    <mergeCell ref="B2:D2"/>
    <mergeCell ref="F2:G2"/>
    <mergeCell ref="A1:G1"/>
    <mergeCell ref="I2:K2"/>
    <mergeCell ref="L2:M2"/>
    <mergeCell ref="I1:M1"/>
    <mergeCell ref="I4:I5"/>
    <mergeCell ref="J4:J5"/>
    <mergeCell ref="K4:K5"/>
    <mergeCell ref="L4:L5"/>
    <mergeCell ref="M4:M5"/>
    <mergeCell ref="I8:K9"/>
    <mergeCell ref="L8:L9"/>
    <mergeCell ref="I11:L12"/>
    <mergeCell ref="I14:I15"/>
    <mergeCell ref="J14:J15"/>
    <mergeCell ref="K14:K15"/>
    <mergeCell ref="L14:L15"/>
    <mergeCell ref="I16:I17"/>
    <mergeCell ref="J16:J17"/>
    <mergeCell ref="K16:K17"/>
    <mergeCell ref="L16:L17"/>
    <mergeCell ref="I18:J18"/>
    <mergeCell ref="N36:N37"/>
    <mergeCell ref="I20:N21"/>
    <mergeCell ref="I23:K24"/>
    <mergeCell ref="L23:L24"/>
    <mergeCell ref="I26:K27"/>
    <mergeCell ref="L26:L27"/>
    <mergeCell ref="I34:K34"/>
    <mergeCell ref="I36:L37"/>
    <mergeCell ref="M36:M37"/>
    <mergeCell ref="I29:L30"/>
    <mergeCell ref="I32:I33"/>
    <mergeCell ref="J32:J33"/>
    <mergeCell ref="K32:K33"/>
    <mergeCell ref="L32:L33"/>
  </mergeCells>
  <hyperlinks>
    <hyperlink ref="M36:M37" r:id="rId1" display="CALCULO RC E INDEMNIZACION" xr:uid="{00000000-0004-0000-0400-000000000000}"/>
  </hyperlinks>
  <pageMargins left="0.94488188976377963" right="0.94488188976377963" top="0" bottom="0.39370078740157483" header="0" footer="0"/>
  <pageSetup paperSize="9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3"/>
  <sheetViews>
    <sheetView topLeftCell="A4" zoomScale="101" zoomScaleNormal="101" workbookViewId="0">
      <selection activeCell="L10" sqref="L10"/>
    </sheetView>
  </sheetViews>
  <sheetFormatPr baseColWidth="10" defaultColWidth="11.5703125" defaultRowHeight="14.25" x14ac:dyDescent="0.2"/>
  <cols>
    <col min="1" max="1" width="18.42578125" style="4" customWidth="1"/>
    <col min="2" max="2" width="24.42578125" style="68" customWidth="1"/>
    <col min="3" max="3" width="9.28515625" style="69" hidden="1" customWidth="1"/>
    <col min="4" max="4" width="18.42578125" style="68" customWidth="1"/>
    <col min="5" max="5" width="18.42578125" style="5" customWidth="1"/>
    <col min="6" max="6" width="24.7109375" style="68" customWidth="1"/>
    <col min="7" max="7" width="18.42578125" style="68" customWidth="1"/>
    <col min="8" max="8" width="11.5703125" style="5"/>
    <col min="9" max="9" width="20.7109375" style="7" customWidth="1"/>
    <col min="10" max="10" width="19.7109375" style="5" customWidth="1"/>
    <col min="11" max="11" width="20.5703125" style="5" customWidth="1"/>
    <col min="12" max="12" width="17.28515625" style="5" customWidth="1"/>
    <col min="13" max="13" width="15.5703125" style="5" customWidth="1"/>
    <col min="14" max="16384" width="11.5703125" style="5"/>
  </cols>
  <sheetData>
    <row r="1" spans="1:14" s="8" customFormat="1" ht="45" customHeight="1" x14ac:dyDescent="0.2">
      <c r="A1" s="233" t="s">
        <v>111</v>
      </c>
      <c r="B1" s="234"/>
      <c r="C1" s="234"/>
      <c r="D1" s="234"/>
      <c r="E1" s="234"/>
      <c r="F1" s="234"/>
      <c r="G1" s="234"/>
      <c r="I1" s="238" t="s">
        <v>113</v>
      </c>
      <c r="J1" s="239"/>
      <c r="K1" s="239"/>
      <c r="L1" s="239"/>
      <c r="M1" s="240"/>
    </row>
    <row r="2" spans="1:14" s="36" customFormat="1" ht="24.75" customHeight="1" x14ac:dyDescent="0.2">
      <c r="A2" s="44"/>
      <c r="B2" s="299" t="s">
        <v>45</v>
      </c>
      <c r="C2" s="299"/>
      <c r="D2" s="300"/>
      <c r="E2" s="42"/>
      <c r="F2" s="299" t="s">
        <v>46</v>
      </c>
      <c r="G2" s="300"/>
      <c r="I2" s="228" t="s">
        <v>48</v>
      </c>
      <c r="J2" s="228"/>
      <c r="K2" s="228"/>
      <c r="L2" s="228" t="s">
        <v>52</v>
      </c>
      <c r="M2" s="228"/>
    </row>
    <row r="3" spans="1:14" s="27" customFormat="1" ht="38.25" x14ac:dyDescent="0.2">
      <c r="A3" s="43" t="s">
        <v>43</v>
      </c>
      <c r="B3" s="65" t="s">
        <v>44</v>
      </c>
      <c r="C3" s="66" t="s">
        <v>90</v>
      </c>
      <c r="D3" s="67" t="s">
        <v>106</v>
      </c>
      <c r="E3" s="40" t="s">
        <v>43</v>
      </c>
      <c r="F3" s="65" t="s">
        <v>44</v>
      </c>
      <c r="G3" s="67" t="s">
        <v>107</v>
      </c>
      <c r="I3" s="121" t="s">
        <v>47</v>
      </c>
      <c r="J3" s="121" t="s">
        <v>58</v>
      </c>
      <c r="K3" s="121" t="s">
        <v>59</v>
      </c>
      <c r="L3" s="122" t="s">
        <v>50</v>
      </c>
      <c r="M3" s="121" t="s">
        <v>51</v>
      </c>
    </row>
    <row r="4" spans="1:14" ht="15" customHeight="1" x14ac:dyDescent="0.2">
      <c r="A4" s="37">
        <v>37.5</v>
      </c>
      <c r="B4" s="71">
        <f>PARAMETROS!B7</f>
        <v>1507.2548910518001</v>
      </c>
      <c r="C4" s="72"/>
      <c r="D4" s="71"/>
      <c r="E4" s="37">
        <v>37.5</v>
      </c>
      <c r="F4" s="71">
        <f>PARAMETROS!C7</f>
        <v>1959.4318775649499</v>
      </c>
      <c r="G4" s="71">
        <f>IF(F4&gt;$K$4,$K$4*$K$18%,F4*$K$18%)</f>
        <v>628.38980313507943</v>
      </c>
      <c r="I4" s="235">
        <v>2</v>
      </c>
      <c r="J4" s="303">
        <v>1599.6</v>
      </c>
      <c r="K4" s="303">
        <v>4909.5</v>
      </c>
      <c r="L4" s="304">
        <v>1381.2</v>
      </c>
      <c r="M4" s="304">
        <v>4909.5</v>
      </c>
      <c r="N4" s="8"/>
    </row>
    <row r="5" spans="1:14" x14ac:dyDescent="0.2">
      <c r="A5" s="38">
        <v>36</v>
      </c>
      <c r="B5" s="73">
        <f>PRODUCT(B$4,A5)/A$4</f>
        <v>1446.9646954097282</v>
      </c>
      <c r="C5" s="74">
        <f t="shared" ref="C5:C40" si="0">(A5/$A$4*7.5*5)/7*30*$C$43</f>
        <v>1487.3142857142859</v>
      </c>
      <c r="D5" s="73">
        <f>IF(B5&lt;C5,C5*$K$18%,B5*$K$18%)</f>
        <v>476.98169142857148</v>
      </c>
      <c r="E5" s="38">
        <v>36</v>
      </c>
      <c r="F5" s="73">
        <f>PRODUCT(F$4,E5)/E$4</f>
        <v>1881.054602462352</v>
      </c>
      <c r="G5" s="73">
        <f t="shared" ref="G5:G40" si="1">IF(F5&gt;$K$4,$K$4*$K$18%,F5*$K$18%)</f>
        <v>603.25421100967628</v>
      </c>
      <c r="I5" s="235"/>
      <c r="J5" s="303"/>
      <c r="K5" s="303"/>
      <c r="L5" s="304"/>
      <c r="M5" s="304"/>
      <c r="N5" s="8"/>
    </row>
    <row r="6" spans="1:14" x14ac:dyDescent="0.2">
      <c r="A6" s="38">
        <v>35</v>
      </c>
      <c r="B6" s="73">
        <f t="shared" ref="B6:B40" si="2">PRODUCT(B$4,A6)/A$4</f>
        <v>1406.7712316483467</v>
      </c>
      <c r="C6" s="74">
        <f t="shared" si="0"/>
        <v>1446</v>
      </c>
      <c r="D6" s="73">
        <f t="shared" ref="D6:D40" si="3">IF(B6&lt;C6,C6*$K$18%,B6*$K$18%)</f>
        <v>463.73219999999998</v>
      </c>
      <c r="E6" s="38">
        <v>35</v>
      </c>
      <c r="F6" s="73">
        <f t="shared" ref="F6:F40" si="4">PRODUCT(F$4,E6)/E$4</f>
        <v>1828.8030857272865</v>
      </c>
      <c r="G6" s="73">
        <f t="shared" si="1"/>
        <v>586.49714959274081</v>
      </c>
      <c r="I6" s="35"/>
      <c r="J6" s="8"/>
      <c r="K6" s="8"/>
      <c r="L6" s="112"/>
      <c r="M6" s="8"/>
      <c r="N6" s="8"/>
    </row>
    <row r="7" spans="1:14" ht="15" thickBot="1" x14ac:dyDescent="0.25">
      <c r="A7" s="38">
        <v>34</v>
      </c>
      <c r="B7" s="73">
        <f t="shared" si="2"/>
        <v>1366.5777678869656</v>
      </c>
      <c r="C7" s="74">
        <f t="shared" si="0"/>
        <v>1404.6857142857141</v>
      </c>
      <c r="D7" s="73">
        <f t="shared" si="3"/>
        <v>450.48270857142847</v>
      </c>
      <c r="E7" s="38">
        <v>34</v>
      </c>
      <c r="F7" s="73">
        <f t="shared" si="4"/>
        <v>1776.5515689922213</v>
      </c>
      <c r="G7" s="73">
        <f t="shared" si="1"/>
        <v>569.74008817580534</v>
      </c>
      <c r="I7" s="35"/>
      <c r="J7" s="19"/>
      <c r="K7" s="8"/>
      <c r="L7" s="112"/>
      <c r="M7" s="8"/>
      <c r="N7" s="8"/>
    </row>
    <row r="8" spans="1:14" x14ac:dyDescent="0.2">
      <c r="A8" s="38">
        <v>33</v>
      </c>
      <c r="B8" s="73">
        <f t="shared" si="2"/>
        <v>1326.3843041255841</v>
      </c>
      <c r="C8" s="74">
        <f t="shared" si="0"/>
        <v>1363.3714285714289</v>
      </c>
      <c r="D8" s="73">
        <f t="shared" si="3"/>
        <v>437.2332171428572</v>
      </c>
      <c r="E8" s="38">
        <v>33</v>
      </c>
      <c r="F8" s="73">
        <f t="shared" si="4"/>
        <v>1724.300052257156</v>
      </c>
      <c r="G8" s="73">
        <f t="shared" si="1"/>
        <v>552.98302675886987</v>
      </c>
      <c r="I8" s="218" t="s">
        <v>88</v>
      </c>
      <c r="J8" s="218"/>
      <c r="K8" s="219"/>
      <c r="L8" s="216">
        <v>0</v>
      </c>
      <c r="M8" s="8"/>
      <c r="N8" s="8"/>
    </row>
    <row r="9" spans="1:14" ht="15" thickBot="1" x14ac:dyDescent="0.25">
      <c r="A9" s="38">
        <v>32</v>
      </c>
      <c r="B9" s="73">
        <f t="shared" si="2"/>
        <v>1286.1908403642028</v>
      </c>
      <c r="C9" s="74">
        <f t="shared" si="0"/>
        <v>1322.0571428571429</v>
      </c>
      <c r="D9" s="73">
        <f t="shared" si="3"/>
        <v>423.9837257142857</v>
      </c>
      <c r="E9" s="38">
        <v>32</v>
      </c>
      <c r="F9" s="73">
        <f t="shared" si="4"/>
        <v>1672.0485355220906</v>
      </c>
      <c r="G9" s="73">
        <f t="shared" si="1"/>
        <v>536.2259653419344</v>
      </c>
      <c r="I9" s="218"/>
      <c r="J9" s="218"/>
      <c r="K9" s="219"/>
      <c r="L9" s="217"/>
      <c r="M9" s="8"/>
      <c r="N9" s="8"/>
    </row>
    <row r="10" spans="1:14" ht="15" thickBot="1" x14ac:dyDescent="0.25">
      <c r="A10" s="38">
        <v>31</v>
      </c>
      <c r="B10" s="73">
        <f t="shared" si="2"/>
        <v>1245.9973766028213</v>
      </c>
      <c r="C10" s="74">
        <f t="shared" si="0"/>
        <v>1280.7428571428572</v>
      </c>
      <c r="D10" s="73">
        <f t="shared" si="3"/>
        <v>410.73423428571431</v>
      </c>
      <c r="E10" s="38">
        <v>31</v>
      </c>
      <c r="F10" s="73">
        <f t="shared" si="4"/>
        <v>1619.7970187870253</v>
      </c>
      <c r="G10" s="73">
        <f t="shared" si="1"/>
        <v>519.46890392499904</v>
      </c>
      <c r="I10" s="117"/>
      <c r="J10" s="118"/>
      <c r="K10" s="119"/>
      <c r="L10" s="120"/>
      <c r="M10" s="8"/>
      <c r="N10" s="8"/>
    </row>
    <row r="11" spans="1:14" x14ac:dyDescent="0.2">
      <c r="A11" s="38">
        <v>30</v>
      </c>
      <c r="B11" s="73">
        <f t="shared" si="2"/>
        <v>1205.80391284144</v>
      </c>
      <c r="C11" s="74">
        <f t="shared" si="0"/>
        <v>1239.4285714285713</v>
      </c>
      <c r="D11" s="73">
        <f t="shared" si="3"/>
        <v>397.48474285714281</v>
      </c>
      <c r="E11" s="38">
        <v>30</v>
      </c>
      <c r="F11" s="73">
        <f t="shared" si="4"/>
        <v>1567.5455020519598</v>
      </c>
      <c r="G11" s="73">
        <f t="shared" si="1"/>
        <v>502.71184250806351</v>
      </c>
      <c r="I11" s="220" t="s">
        <v>60</v>
      </c>
      <c r="J11" s="221"/>
      <c r="K11" s="221"/>
      <c r="L11" s="222"/>
      <c r="M11" s="8"/>
      <c r="N11" s="8"/>
    </row>
    <row r="12" spans="1:14" ht="15" thickBot="1" x14ac:dyDescent="0.25">
      <c r="A12" s="38">
        <v>29</v>
      </c>
      <c r="B12" s="73">
        <f t="shared" si="2"/>
        <v>1165.6104490800587</v>
      </c>
      <c r="C12" s="74">
        <f t="shared" si="0"/>
        <v>1198.1142857142859</v>
      </c>
      <c r="D12" s="73">
        <f t="shared" si="3"/>
        <v>384.23525142857147</v>
      </c>
      <c r="E12" s="38">
        <v>29</v>
      </c>
      <c r="F12" s="73">
        <f t="shared" si="4"/>
        <v>1515.2939853168946</v>
      </c>
      <c r="G12" s="73">
        <f t="shared" si="1"/>
        <v>485.95478109112804</v>
      </c>
      <c r="I12" s="223"/>
      <c r="J12" s="224"/>
      <c r="K12" s="224"/>
      <c r="L12" s="225"/>
      <c r="M12" s="8"/>
      <c r="N12" s="8"/>
    </row>
    <row r="13" spans="1:14" ht="15" thickBot="1" x14ac:dyDescent="0.25">
      <c r="A13" s="38">
        <v>28</v>
      </c>
      <c r="B13" s="73">
        <f t="shared" si="2"/>
        <v>1125.4169853186775</v>
      </c>
      <c r="C13" s="74">
        <f t="shared" si="0"/>
        <v>1156.8000000000004</v>
      </c>
      <c r="D13" s="73">
        <f t="shared" si="3"/>
        <v>370.98576000000014</v>
      </c>
      <c r="E13" s="38">
        <v>28</v>
      </c>
      <c r="F13" s="73">
        <f t="shared" si="4"/>
        <v>1463.0424685818293</v>
      </c>
      <c r="G13" s="73">
        <f t="shared" si="1"/>
        <v>469.19771967419263</v>
      </c>
      <c r="I13" s="114"/>
      <c r="J13" s="115" t="s">
        <v>53</v>
      </c>
      <c r="K13" s="130" t="s">
        <v>54</v>
      </c>
      <c r="L13" s="116" t="s">
        <v>55</v>
      </c>
      <c r="M13" s="8"/>
      <c r="N13" s="8"/>
    </row>
    <row r="14" spans="1:14" x14ac:dyDescent="0.2">
      <c r="A14" s="38">
        <v>27</v>
      </c>
      <c r="B14" s="73">
        <f t="shared" si="2"/>
        <v>1085.223521557296</v>
      </c>
      <c r="C14" s="74">
        <f t="shared" si="0"/>
        <v>1115.4857142857143</v>
      </c>
      <c r="D14" s="73">
        <f t="shared" si="3"/>
        <v>357.73626857142852</v>
      </c>
      <c r="E14" s="38">
        <v>27</v>
      </c>
      <c r="F14" s="73">
        <f t="shared" si="4"/>
        <v>1410.7909518467638</v>
      </c>
      <c r="G14" s="73">
        <f t="shared" si="1"/>
        <v>452.44065825725716</v>
      </c>
      <c r="I14" s="226" t="s">
        <v>56</v>
      </c>
      <c r="J14" s="245">
        <f>IF(L8&gt;=J4,L8,J4)</f>
        <v>1599.6</v>
      </c>
      <c r="K14" s="241">
        <v>24.27</v>
      </c>
      <c r="L14" s="247">
        <f>J14*K14%</f>
        <v>388.22291999999999</v>
      </c>
      <c r="M14" s="8"/>
      <c r="N14" s="8"/>
    </row>
    <row r="15" spans="1:14" ht="15" thickBot="1" x14ac:dyDescent="0.25">
      <c r="A15" s="38">
        <v>26</v>
      </c>
      <c r="B15" s="73">
        <f t="shared" si="2"/>
        <v>1045.0300577959147</v>
      </c>
      <c r="C15" s="74">
        <f t="shared" si="0"/>
        <v>1074.1714285714286</v>
      </c>
      <c r="D15" s="73">
        <f t="shared" si="3"/>
        <v>344.48677714285714</v>
      </c>
      <c r="E15" s="38">
        <v>26</v>
      </c>
      <c r="F15" s="73">
        <f t="shared" si="4"/>
        <v>1358.5394351116986</v>
      </c>
      <c r="G15" s="73">
        <f t="shared" si="1"/>
        <v>435.68359684032174</v>
      </c>
      <c r="I15" s="227"/>
      <c r="J15" s="246"/>
      <c r="K15" s="242"/>
      <c r="L15" s="248"/>
      <c r="M15" s="8"/>
      <c r="N15" s="8"/>
    </row>
    <row r="16" spans="1:14" x14ac:dyDescent="0.2">
      <c r="A16" s="38">
        <v>25</v>
      </c>
      <c r="B16" s="73">
        <f t="shared" si="2"/>
        <v>1004.8365940345335</v>
      </c>
      <c r="C16" s="74">
        <f t="shared" si="0"/>
        <v>1032.8571428571431</v>
      </c>
      <c r="D16" s="73">
        <f t="shared" si="3"/>
        <v>331.2372857142858</v>
      </c>
      <c r="E16" s="38">
        <v>25</v>
      </c>
      <c r="F16" s="73">
        <f t="shared" si="4"/>
        <v>1306.2879183766333</v>
      </c>
      <c r="G16" s="73">
        <f t="shared" si="1"/>
        <v>418.92653542338627</v>
      </c>
      <c r="I16" s="243" t="s">
        <v>57</v>
      </c>
      <c r="J16" s="245">
        <f>IF(L8&gt;=L4,L8,L4)</f>
        <v>1381.2</v>
      </c>
      <c r="K16" s="241">
        <v>7.8</v>
      </c>
      <c r="L16" s="252">
        <f>J16*K16%</f>
        <v>107.73360000000001</v>
      </c>
      <c r="M16" s="8"/>
      <c r="N16" s="8"/>
    </row>
    <row r="17" spans="1:14" ht="15" thickBot="1" x14ac:dyDescent="0.25">
      <c r="A17" s="38">
        <v>24</v>
      </c>
      <c r="B17" s="73">
        <f t="shared" si="2"/>
        <v>964.64313027315211</v>
      </c>
      <c r="C17" s="74">
        <f t="shared" si="0"/>
        <v>991.54285714285709</v>
      </c>
      <c r="D17" s="73">
        <f t="shared" si="3"/>
        <v>317.98779428571424</v>
      </c>
      <c r="E17" s="38">
        <v>24</v>
      </c>
      <c r="F17" s="73">
        <f t="shared" si="4"/>
        <v>1254.0364016415679</v>
      </c>
      <c r="G17" s="73">
        <f t="shared" si="1"/>
        <v>402.1694740064508</v>
      </c>
      <c r="I17" s="244"/>
      <c r="J17" s="246"/>
      <c r="K17" s="242">
        <v>0.2</v>
      </c>
      <c r="L17" s="253"/>
      <c r="M17" s="8"/>
      <c r="N17" s="8"/>
    </row>
    <row r="18" spans="1:14" ht="15" thickBot="1" x14ac:dyDescent="0.25">
      <c r="A18" s="38">
        <v>23</v>
      </c>
      <c r="B18" s="73">
        <f t="shared" si="2"/>
        <v>924.44966651177072</v>
      </c>
      <c r="C18" s="74">
        <f t="shared" si="0"/>
        <v>950.22857142857151</v>
      </c>
      <c r="D18" s="73">
        <f t="shared" si="3"/>
        <v>304.73830285714286</v>
      </c>
      <c r="E18" s="38">
        <v>23</v>
      </c>
      <c r="F18" s="73">
        <f t="shared" si="4"/>
        <v>1201.7848849065026</v>
      </c>
      <c r="G18" s="73">
        <f t="shared" si="1"/>
        <v>385.41241258951538</v>
      </c>
      <c r="I18" s="250" t="s">
        <v>61</v>
      </c>
      <c r="J18" s="251"/>
      <c r="K18" s="131">
        <f>(K14+K16)</f>
        <v>32.07</v>
      </c>
      <c r="L18" s="127">
        <f>SUM(L14:L17)</f>
        <v>495.95652000000001</v>
      </c>
      <c r="M18" s="8"/>
      <c r="N18" s="8"/>
    </row>
    <row r="19" spans="1:14" x14ac:dyDescent="0.2">
      <c r="A19" s="38">
        <v>22</v>
      </c>
      <c r="B19" s="73">
        <f t="shared" si="2"/>
        <v>884.25620275038932</v>
      </c>
      <c r="C19" s="74">
        <f t="shared" si="0"/>
        <v>908.91428571428571</v>
      </c>
      <c r="D19" s="73">
        <f t="shared" si="3"/>
        <v>291.48881142857141</v>
      </c>
      <c r="E19" s="38">
        <v>22</v>
      </c>
      <c r="F19" s="73">
        <f t="shared" si="4"/>
        <v>1149.5333681714371</v>
      </c>
      <c r="G19" s="73">
        <f t="shared" si="1"/>
        <v>368.65535117257986</v>
      </c>
      <c r="I19" s="123"/>
      <c r="J19" s="124"/>
      <c r="K19" s="125"/>
      <c r="L19" s="126"/>
      <c r="M19" s="8"/>
      <c r="N19" s="8"/>
    </row>
    <row r="20" spans="1:14" ht="14.25" customHeight="1" x14ac:dyDescent="0.2">
      <c r="A20" s="38">
        <v>21</v>
      </c>
      <c r="B20" s="73">
        <f t="shared" si="2"/>
        <v>844.06273898900804</v>
      </c>
      <c r="C20" s="74">
        <f t="shared" si="0"/>
        <v>867.6</v>
      </c>
      <c r="D20" s="73">
        <f t="shared" si="3"/>
        <v>278.23932000000002</v>
      </c>
      <c r="E20" s="38">
        <v>21</v>
      </c>
      <c r="F20" s="73">
        <f t="shared" si="4"/>
        <v>1097.2818514363719</v>
      </c>
      <c r="G20" s="73">
        <f t="shared" si="1"/>
        <v>351.89828975564444</v>
      </c>
      <c r="I20" s="249" t="s">
        <v>76</v>
      </c>
      <c r="J20" s="249"/>
      <c r="K20" s="249"/>
      <c r="L20" s="249"/>
      <c r="M20" s="249"/>
      <c r="N20" s="144"/>
    </row>
    <row r="21" spans="1:14" x14ac:dyDescent="0.2">
      <c r="A21" s="38">
        <v>20</v>
      </c>
      <c r="B21" s="73">
        <f t="shared" si="2"/>
        <v>803.86927522762664</v>
      </c>
      <c r="C21" s="74">
        <f t="shared" si="0"/>
        <v>826.28571428571445</v>
      </c>
      <c r="D21" s="73">
        <f t="shared" si="3"/>
        <v>264.98982857142863</v>
      </c>
      <c r="E21" s="38">
        <v>20</v>
      </c>
      <c r="F21" s="73">
        <f t="shared" si="4"/>
        <v>1045.0303347013066</v>
      </c>
      <c r="G21" s="73">
        <f t="shared" si="1"/>
        <v>335.14122833870903</v>
      </c>
      <c r="I21" s="249"/>
      <c r="J21" s="249"/>
      <c r="K21" s="249"/>
      <c r="L21" s="249"/>
      <c r="M21" s="249"/>
      <c r="N21" s="144"/>
    </row>
    <row r="22" spans="1:14" ht="15" thickBot="1" x14ac:dyDescent="0.25">
      <c r="A22" s="38">
        <v>19</v>
      </c>
      <c r="B22" s="73">
        <f t="shared" si="2"/>
        <v>763.67581146624536</v>
      </c>
      <c r="C22" s="74">
        <f t="shared" si="0"/>
        <v>784.97142857142865</v>
      </c>
      <c r="D22" s="73">
        <f t="shared" si="3"/>
        <v>251.74033714285716</v>
      </c>
      <c r="E22" s="38">
        <v>19</v>
      </c>
      <c r="F22" s="73">
        <f t="shared" si="4"/>
        <v>992.77881796624126</v>
      </c>
      <c r="G22" s="73">
        <f t="shared" si="1"/>
        <v>318.38416692177356</v>
      </c>
      <c r="I22" s="35"/>
      <c r="J22" s="19"/>
      <c r="K22" s="8"/>
      <c r="L22" s="112"/>
      <c r="M22" s="8"/>
      <c r="N22" s="8"/>
    </row>
    <row r="23" spans="1:14" x14ac:dyDescent="0.2">
      <c r="A23" s="38">
        <v>18</v>
      </c>
      <c r="B23" s="73">
        <f t="shared" si="2"/>
        <v>723.48234770486408</v>
      </c>
      <c r="C23" s="74">
        <f t="shared" si="0"/>
        <v>743.65714285714296</v>
      </c>
      <c r="D23" s="73">
        <f t="shared" si="3"/>
        <v>238.49084571428574</v>
      </c>
      <c r="E23" s="38">
        <v>18</v>
      </c>
      <c r="F23" s="73">
        <f t="shared" si="4"/>
        <v>940.52730123117601</v>
      </c>
      <c r="G23" s="73">
        <f t="shared" si="1"/>
        <v>301.62710550483814</v>
      </c>
      <c r="I23" s="218" t="s">
        <v>62</v>
      </c>
      <c r="J23" s="218"/>
      <c r="K23" s="219"/>
      <c r="L23" s="301">
        <v>0</v>
      </c>
      <c r="M23" s="8"/>
      <c r="N23" s="8"/>
    </row>
    <row r="24" spans="1:14" ht="15" thickBot="1" x14ac:dyDescent="0.25">
      <c r="A24" s="38">
        <v>17</v>
      </c>
      <c r="B24" s="73">
        <f t="shared" si="2"/>
        <v>683.2888839434828</v>
      </c>
      <c r="C24" s="74">
        <f t="shared" si="0"/>
        <v>702.34285714285704</v>
      </c>
      <c r="D24" s="73">
        <f t="shared" si="3"/>
        <v>225.24135428571424</v>
      </c>
      <c r="E24" s="38">
        <v>17</v>
      </c>
      <c r="F24" s="73">
        <f t="shared" si="4"/>
        <v>888.27578449611065</v>
      </c>
      <c r="G24" s="73">
        <f t="shared" si="1"/>
        <v>284.87004408790267</v>
      </c>
      <c r="I24" s="218"/>
      <c r="J24" s="218"/>
      <c r="K24" s="219"/>
      <c r="L24" s="302"/>
      <c r="M24" s="8"/>
      <c r="N24" s="8"/>
    </row>
    <row r="25" spans="1:14" ht="15" thickBot="1" x14ac:dyDescent="0.25">
      <c r="A25" s="38">
        <v>16</v>
      </c>
      <c r="B25" s="73">
        <f t="shared" si="2"/>
        <v>643.09542018210141</v>
      </c>
      <c r="C25" s="74">
        <f t="shared" si="0"/>
        <v>661.02857142857147</v>
      </c>
      <c r="D25" s="73">
        <f t="shared" si="3"/>
        <v>211.99186285714285</v>
      </c>
      <c r="E25" s="38">
        <v>16</v>
      </c>
      <c r="F25" s="73">
        <f t="shared" si="4"/>
        <v>836.02426776104528</v>
      </c>
      <c r="G25" s="73">
        <f t="shared" si="1"/>
        <v>268.1129826709672</v>
      </c>
      <c r="I25" s="35"/>
      <c r="J25" s="19"/>
      <c r="K25" s="8"/>
      <c r="L25" s="112"/>
      <c r="M25" s="8"/>
      <c r="N25" s="8"/>
    </row>
    <row r="26" spans="1:14" x14ac:dyDescent="0.2">
      <c r="A26" s="38">
        <v>15</v>
      </c>
      <c r="B26" s="73">
        <f t="shared" si="2"/>
        <v>602.90195642072001</v>
      </c>
      <c r="C26" s="74">
        <f t="shared" si="0"/>
        <v>619.71428571428567</v>
      </c>
      <c r="D26" s="73">
        <f t="shared" si="3"/>
        <v>198.7423714285714</v>
      </c>
      <c r="E26" s="38">
        <v>15</v>
      </c>
      <c r="F26" s="73">
        <f t="shared" si="4"/>
        <v>783.77275102597991</v>
      </c>
      <c r="G26" s="73">
        <f t="shared" si="1"/>
        <v>251.35592125403176</v>
      </c>
      <c r="I26" s="218" t="s">
        <v>67</v>
      </c>
      <c r="J26" s="218"/>
      <c r="K26" s="219"/>
      <c r="L26" s="297">
        <v>0</v>
      </c>
      <c r="M26" s="8"/>
      <c r="N26" s="8"/>
    </row>
    <row r="27" spans="1:14" ht="15" thickBot="1" x14ac:dyDescent="0.25">
      <c r="A27" s="38">
        <v>14</v>
      </c>
      <c r="B27" s="73">
        <f t="shared" si="2"/>
        <v>562.70849265933873</v>
      </c>
      <c r="C27" s="74">
        <f t="shared" si="0"/>
        <v>578.4000000000002</v>
      </c>
      <c r="D27" s="73">
        <f t="shared" si="3"/>
        <v>185.49288000000007</v>
      </c>
      <c r="E27" s="38">
        <v>14</v>
      </c>
      <c r="F27" s="73">
        <f t="shared" si="4"/>
        <v>731.52123429091466</v>
      </c>
      <c r="G27" s="73">
        <f t="shared" si="1"/>
        <v>234.59885983709631</v>
      </c>
      <c r="I27" s="218"/>
      <c r="J27" s="218"/>
      <c r="K27" s="219"/>
      <c r="L27" s="298"/>
      <c r="M27" s="8"/>
      <c r="N27" s="8"/>
    </row>
    <row r="28" spans="1:14" ht="15" thickBot="1" x14ac:dyDescent="0.25">
      <c r="A28" s="38">
        <v>13</v>
      </c>
      <c r="B28" s="73">
        <f t="shared" si="2"/>
        <v>522.51502889795734</v>
      </c>
      <c r="C28" s="74">
        <f t="shared" si="0"/>
        <v>537.08571428571429</v>
      </c>
      <c r="D28" s="73">
        <f t="shared" si="3"/>
        <v>172.24338857142857</v>
      </c>
      <c r="E28" s="38">
        <v>13</v>
      </c>
      <c r="F28" s="73">
        <f t="shared" si="4"/>
        <v>679.2697175558493</v>
      </c>
      <c r="G28" s="73">
        <f t="shared" si="1"/>
        <v>217.84179842016087</v>
      </c>
      <c r="I28" s="35"/>
      <c r="J28" s="19"/>
      <c r="K28" s="8"/>
      <c r="L28" s="112"/>
      <c r="M28" s="8"/>
      <c r="N28" s="8"/>
    </row>
    <row r="29" spans="1:14" x14ac:dyDescent="0.2">
      <c r="A29" s="38">
        <v>12</v>
      </c>
      <c r="B29" s="73">
        <f t="shared" si="2"/>
        <v>482.32156513657606</v>
      </c>
      <c r="C29" s="74">
        <f t="shared" si="0"/>
        <v>495.77142857142854</v>
      </c>
      <c r="D29" s="73">
        <f t="shared" si="3"/>
        <v>158.99389714285712</v>
      </c>
      <c r="E29" s="38">
        <v>12</v>
      </c>
      <c r="F29" s="73">
        <f t="shared" si="4"/>
        <v>627.01820082078393</v>
      </c>
      <c r="G29" s="73">
        <f t="shared" si="1"/>
        <v>201.0847370032254</v>
      </c>
      <c r="I29" s="220" t="s">
        <v>63</v>
      </c>
      <c r="J29" s="221"/>
      <c r="K29" s="221"/>
      <c r="L29" s="222"/>
      <c r="M29" s="8"/>
      <c r="N29" s="8"/>
    </row>
    <row r="30" spans="1:14" ht="15" thickBot="1" x14ac:dyDescent="0.25">
      <c r="A30" s="38">
        <v>11</v>
      </c>
      <c r="B30" s="73">
        <f t="shared" si="2"/>
        <v>442.12810137519466</v>
      </c>
      <c r="C30" s="74">
        <f t="shared" si="0"/>
        <v>454.45714285714286</v>
      </c>
      <c r="D30" s="73">
        <f t="shared" si="3"/>
        <v>145.7444057142857</v>
      </c>
      <c r="E30" s="38">
        <v>11</v>
      </c>
      <c r="F30" s="73">
        <f t="shared" si="4"/>
        <v>574.76668408571857</v>
      </c>
      <c r="G30" s="73">
        <f t="shared" si="1"/>
        <v>184.32767558628993</v>
      </c>
      <c r="I30" s="223"/>
      <c r="J30" s="224"/>
      <c r="K30" s="224"/>
      <c r="L30" s="225"/>
      <c r="M30" s="8"/>
      <c r="N30" s="8"/>
    </row>
    <row r="31" spans="1:14" ht="15" thickBot="1" x14ac:dyDescent="0.25">
      <c r="A31" s="38">
        <v>10</v>
      </c>
      <c r="B31" s="73">
        <f t="shared" si="2"/>
        <v>401.93463761381332</v>
      </c>
      <c r="C31" s="74">
        <f t="shared" si="0"/>
        <v>413.14285714285722</v>
      </c>
      <c r="D31" s="73">
        <f t="shared" si="3"/>
        <v>132.49491428571432</v>
      </c>
      <c r="E31" s="38">
        <v>10</v>
      </c>
      <c r="F31" s="73">
        <f t="shared" si="4"/>
        <v>522.51516735065331</v>
      </c>
      <c r="G31" s="73">
        <f t="shared" si="1"/>
        <v>167.57061416935451</v>
      </c>
      <c r="I31" s="134" t="s">
        <v>68</v>
      </c>
      <c r="J31" s="132" t="s">
        <v>53</v>
      </c>
      <c r="K31" s="130" t="s">
        <v>69</v>
      </c>
      <c r="L31" s="116" t="s">
        <v>55</v>
      </c>
      <c r="M31" s="8"/>
      <c r="N31" s="8"/>
    </row>
    <row r="32" spans="1:14" x14ac:dyDescent="0.2">
      <c r="A32" s="38">
        <v>9</v>
      </c>
      <c r="B32" s="73">
        <f t="shared" si="2"/>
        <v>361.74117385243204</v>
      </c>
      <c r="C32" s="74">
        <f t="shared" si="0"/>
        <v>371.82857142857148</v>
      </c>
      <c r="D32" s="73">
        <f t="shared" si="3"/>
        <v>119.24542285714287</v>
      </c>
      <c r="E32" s="38">
        <v>9</v>
      </c>
      <c r="F32" s="73">
        <f t="shared" si="4"/>
        <v>470.26365061558801</v>
      </c>
      <c r="G32" s="73">
        <f t="shared" si="1"/>
        <v>150.81355275241907</v>
      </c>
      <c r="I32" s="259">
        <f>((L23/37.5*7.5*5)/7)*30*$C$43</f>
        <v>0</v>
      </c>
      <c r="J32" s="261">
        <f>IF(L26&lt;I32,I32,L26)</f>
        <v>0</v>
      </c>
      <c r="K32" s="263">
        <v>32.07</v>
      </c>
      <c r="L32" s="252">
        <f>J32*K32%</f>
        <v>0</v>
      </c>
      <c r="M32" s="8"/>
      <c r="N32" s="8"/>
    </row>
    <row r="33" spans="1:14" ht="15" thickBot="1" x14ac:dyDescent="0.25">
      <c r="A33" s="38">
        <v>8</v>
      </c>
      <c r="B33" s="73">
        <f t="shared" si="2"/>
        <v>321.5477100910507</v>
      </c>
      <c r="C33" s="74">
        <f t="shared" si="0"/>
        <v>330.51428571428573</v>
      </c>
      <c r="D33" s="73">
        <f t="shared" si="3"/>
        <v>105.99593142857142</v>
      </c>
      <c r="E33" s="38">
        <v>8</v>
      </c>
      <c r="F33" s="73">
        <f t="shared" si="4"/>
        <v>418.01213388052264</v>
      </c>
      <c r="G33" s="73">
        <f t="shared" si="1"/>
        <v>134.0564913354836</v>
      </c>
      <c r="I33" s="260"/>
      <c r="J33" s="262"/>
      <c r="K33" s="264"/>
      <c r="L33" s="265"/>
      <c r="M33" s="8"/>
      <c r="N33" s="8"/>
    </row>
    <row r="34" spans="1:14" ht="15" thickBot="1" x14ac:dyDescent="0.25">
      <c r="A34" s="38">
        <v>7</v>
      </c>
      <c r="B34" s="73">
        <f t="shared" si="2"/>
        <v>281.35424632966937</v>
      </c>
      <c r="C34" s="74">
        <f t="shared" si="0"/>
        <v>289.2000000000001</v>
      </c>
      <c r="D34" s="73">
        <f t="shared" si="3"/>
        <v>92.746440000000035</v>
      </c>
      <c r="E34" s="38">
        <v>7</v>
      </c>
      <c r="F34" s="73">
        <f t="shared" si="4"/>
        <v>365.76061714545733</v>
      </c>
      <c r="G34" s="73">
        <f t="shared" si="1"/>
        <v>117.29942991854816</v>
      </c>
      <c r="I34" s="254" t="s">
        <v>64</v>
      </c>
      <c r="J34" s="255"/>
      <c r="K34" s="256"/>
      <c r="L34" s="127">
        <f>SUM(L32)</f>
        <v>0</v>
      </c>
      <c r="M34" s="8"/>
      <c r="N34" s="8"/>
    </row>
    <row r="35" spans="1:14" x14ac:dyDescent="0.2">
      <c r="A35" s="38">
        <v>6</v>
      </c>
      <c r="B35" s="73">
        <f t="shared" si="2"/>
        <v>241.16078256828803</v>
      </c>
      <c r="C35" s="74">
        <f t="shared" si="0"/>
        <v>247.88571428571427</v>
      </c>
      <c r="D35" s="73">
        <f t="shared" si="3"/>
        <v>79.496948571428561</v>
      </c>
      <c r="E35" s="38">
        <v>6</v>
      </c>
      <c r="F35" s="73">
        <f t="shared" si="4"/>
        <v>313.50910041039197</v>
      </c>
      <c r="G35" s="73">
        <f t="shared" si="1"/>
        <v>100.5423685016127</v>
      </c>
      <c r="I35" s="35"/>
      <c r="J35" s="19"/>
      <c r="K35" s="8"/>
      <c r="L35" s="112"/>
      <c r="M35" s="8"/>
      <c r="N35" s="133"/>
    </row>
    <row r="36" spans="1:14" x14ac:dyDescent="0.2">
      <c r="A36" s="38">
        <v>5</v>
      </c>
      <c r="B36" s="73">
        <f t="shared" si="2"/>
        <v>200.96731880690666</v>
      </c>
      <c r="C36" s="74">
        <f t="shared" si="0"/>
        <v>206.57142857142861</v>
      </c>
      <c r="D36" s="73">
        <f t="shared" si="3"/>
        <v>66.247457142857158</v>
      </c>
      <c r="E36" s="38">
        <v>5</v>
      </c>
      <c r="F36" s="73">
        <f t="shared" si="4"/>
        <v>261.25758367532666</v>
      </c>
      <c r="G36" s="73">
        <f t="shared" si="1"/>
        <v>83.785307084677257</v>
      </c>
      <c r="I36" s="257" t="s">
        <v>66</v>
      </c>
      <c r="J36" s="257"/>
      <c r="K36" s="257"/>
      <c r="L36" s="257"/>
      <c r="M36" s="258" t="s">
        <v>98</v>
      </c>
      <c r="N36" s="133"/>
    </row>
    <row r="37" spans="1:14" x14ac:dyDescent="0.2">
      <c r="A37" s="38">
        <v>4</v>
      </c>
      <c r="B37" s="73">
        <f t="shared" si="2"/>
        <v>160.77385504552535</v>
      </c>
      <c r="C37" s="74">
        <f t="shared" si="0"/>
        <v>165.25714285714287</v>
      </c>
      <c r="D37" s="73">
        <f t="shared" si="3"/>
        <v>52.997965714285712</v>
      </c>
      <c r="E37" s="38">
        <v>4</v>
      </c>
      <c r="F37" s="73">
        <f t="shared" si="4"/>
        <v>209.00606694026132</v>
      </c>
      <c r="G37" s="73">
        <f t="shared" si="1"/>
        <v>67.0282456677418</v>
      </c>
      <c r="I37" s="257"/>
      <c r="J37" s="257"/>
      <c r="K37" s="257"/>
      <c r="L37" s="257"/>
      <c r="M37" s="258"/>
      <c r="N37" s="133"/>
    </row>
    <row r="38" spans="1:14" x14ac:dyDescent="0.2">
      <c r="A38" s="38">
        <v>3</v>
      </c>
      <c r="B38" s="73">
        <f t="shared" si="2"/>
        <v>120.58039128414401</v>
      </c>
      <c r="C38" s="74">
        <f t="shared" si="0"/>
        <v>123.94285714285714</v>
      </c>
      <c r="D38" s="73">
        <f t="shared" si="3"/>
        <v>39.748474285714281</v>
      </c>
      <c r="E38" s="38">
        <v>3</v>
      </c>
      <c r="F38" s="73">
        <f t="shared" si="4"/>
        <v>156.75455020519598</v>
      </c>
      <c r="G38" s="73">
        <f t="shared" si="1"/>
        <v>50.27118425080635</v>
      </c>
      <c r="I38" s="5"/>
    </row>
    <row r="39" spans="1:14" x14ac:dyDescent="0.2">
      <c r="A39" s="38">
        <v>2</v>
      </c>
      <c r="B39" s="73">
        <f t="shared" si="2"/>
        <v>80.386927522762676</v>
      </c>
      <c r="C39" s="74">
        <f t="shared" si="0"/>
        <v>82.628571428571433</v>
      </c>
      <c r="D39" s="73">
        <f t="shared" si="3"/>
        <v>26.498982857142856</v>
      </c>
      <c r="E39" s="38">
        <v>2</v>
      </c>
      <c r="F39" s="73">
        <f t="shared" si="4"/>
        <v>104.50303347013066</v>
      </c>
      <c r="G39" s="73">
        <f t="shared" si="1"/>
        <v>33.5141228338709</v>
      </c>
      <c r="I39" s="5"/>
    </row>
    <row r="40" spans="1:14" x14ac:dyDescent="0.2">
      <c r="A40" s="39">
        <v>1</v>
      </c>
      <c r="B40" s="75">
        <f t="shared" si="2"/>
        <v>40.193463761381338</v>
      </c>
      <c r="C40" s="76">
        <f t="shared" si="0"/>
        <v>41.314285714285717</v>
      </c>
      <c r="D40" s="75">
        <f t="shared" si="3"/>
        <v>13.249491428571428</v>
      </c>
      <c r="E40" s="39">
        <v>1</v>
      </c>
      <c r="F40" s="75">
        <f t="shared" si="4"/>
        <v>52.25151673506533</v>
      </c>
      <c r="G40" s="75">
        <f t="shared" si="1"/>
        <v>16.75706141693545</v>
      </c>
      <c r="I40" s="5"/>
    </row>
    <row r="41" spans="1:14" hidden="1" x14ac:dyDescent="0.2"/>
    <row r="42" spans="1:14" ht="15" hidden="1" thickBot="1" x14ac:dyDescent="0.25">
      <c r="C42" s="208" t="s">
        <v>94</v>
      </c>
    </row>
    <row r="43" spans="1:14" s="21" customFormat="1" ht="41.25" hidden="1" customHeight="1" thickBot="1" x14ac:dyDescent="0.25">
      <c r="A43" s="187"/>
      <c r="B43" s="203" t="s">
        <v>15</v>
      </c>
      <c r="C43" s="204">
        <v>9.64</v>
      </c>
      <c r="D43" s="188"/>
      <c r="E43" s="189"/>
      <c r="F43" s="188"/>
      <c r="G43" s="188"/>
      <c r="I43" s="190"/>
    </row>
  </sheetData>
  <sheetProtection algorithmName="SHA-512" hashValue="+C0hy9ZqapC2ZHKrx7gfiRZrrnzkB9bykZzaB7nZm/KDxSmw8A92uJMTmjP/cOf2gb2ywbafkz1afcjcNfUzKQ==" saltValue="i57ZyOWvnOFZiBIVUBS4lg==" spinCount="100000" sheet="1" objects="1" scenarios="1"/>
  <protectedRanges>
    <protectedRange sqref="M36" name="CALCULO RC"/>
    <protectedRange sqref="L8" name="RET TC_1"/>
    <protectedRange sqref="L23" name="DED_1"/>
    <protectedRange sqref="L26" name="RET TP_2"/>
  </protectedRanges>
  <mergeCells count="36">
    <mergeCell ref="A1:G1"/>
    <mergeCell ref="B2:D2"/>
    <mergeCell ref="F2:G2"/>
    <mergeCell ref="I2:K2"/>
    <mergeCell ref="L2:M2"/>
    <mergeCell ref="I1:M1"/>
    <mergeCell ref="I4:I5"/>
    <mergeCell ref="J4:J5"/>
    <mergeCell ref="K4:K5"/>
    <mergeCell ref="L4:L5"/>
    <mergeCell ref="M4:M5"/>
    <mergeCell ref="I8:K9"/>
    <mergeCell ref="L8:L9"/>
    <mergeCell ref="I11:L12"/>
    <mergeCell ref="I14:I15"/>
    <mergeCell ref="J14:J15"/>
    <mergeCell ref="K14:K15"/>
    <mergeCell ref="L14:L15"/>
    <mergeCell ref="I16:I17"/>
    <mergeCell ref="J16:J17"/>
    <mergeCell ref="K16:K17"/>
    <mergeCell ref="L16:L17"/>
    <mergeCell ref="I18:J18"/>
    <mergeCell ref="I34:K34"/>
    <mergeCell ref="I36:L37"/>
    <mergeCell ref="M36:M37"/>
    <mergeCell ref="I20:M21"/>
    <mergeCell ref="I29:L30"/>
    <mergeCell ref="I32:I33"/>
    <mergeCell ref="J32:J33"/>
    <mergeCell ref="K32:K33"/>
    <mergeCell ref="L32:L33"/>
    <mergeCell ref="I23:K24"/>
    <mergeCell ref="L23:L24"/>
    <mergeCell ref="I26:K27"/>
    <mergeCell ref="L26:L27"/>
  </mergeCells>
  <phoneticPr fontId="0" type="noConversion"/>
  <hyperlinks>
    <hyperlink ref="M36:M37" r:id="rId1" display="CALCULO RC E INDEMNIZACION" xr:uid="{00000000-0004-0000-0500-000000000000}"/>
  </hyperlinks>
  <pageMargins left="0.94488188976377963" right="0.94488188976377963" top="0" bottom="0.39370078740157483" header="0" footer="0"/>
  <pageSetup paperSize="9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Q43"/>
  <sheetViews>
    <sheetView topLeftCell="B1" zoomScaleNormal="100" workbookViewId="0">
      <selection activeCell="F1" sqref="F1:J1"/>
    </sheetView>
  </sheetViews>
  <sheetFormatPr baseColWidth="10" defaultRowHeight="12.75" x14ac:dyDescent="0.2"/>
  <cols>
    <col min="1" max="1" width="25.28515625" style="1" bestFit="1" customWidth="1"/>
    <col min="2" max="2" width="33.28515625" style="83" customWidth="1"/>
    <col min="3" max="3" width="11.28515625" style="84" hidden="1" customWidth="1"/>
    <col min="4" max="4" width="31.28515625" style="83" customWidth="1"/>
    <col min="5" max="5" width="11.42578125" style="2" customWidth="1"/>
    <col min="6" max="6" width="21.28515625" style="2" customWidth="1"/>
    <col min="7" max="7" width="26" style="2" customWidth="1"/>
    <col min="8" max="8" width="24.140625" style="2" customWidth="1"/>
    <col min="9" max="9" width="16.28515625" style="2" bestFit="1" customWidth="1"/>
    <col min="10" max="10" width="15.28515625" style="2" bestFit="1" customWidth="1"/>
    <col min="11" max="173" width="11.42578125" style="2"/>
  </cols>
  <sheetData>
    <row r="1" spans="1:173" s="8" customFormat="1" ht="43.9" customHeight="1" x14ac:dyDescent="0.2">
      <c r="A1" s="233" t="s">
        <v>111</v>
      </c>
      <c r="B1" s="233"/>
      <c r="C1" s="233"/>
      <c r="D1" s="233"/>
      <c r="E1" s="17"/>
      <c r="F1" s="238" t="s">
        <v>113</v>
      </c>
      <c r="G1" s="239"/>
      <c r="H1" s="239"/>
      <c r="I1" s="239"/>
      <c r="J1" s="240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</row>
    <row r="2" spans="1:173" s="27" customFormat="1" ht="25.15" customHeight="1" x14ac:dyDescent="0.2">
      <c r="A2" s="77" t="s">
        <v>43</v>
      </c>
      <c r="B2" s="81" t="s">
        <v>44</v>
      </c>
      <c r="C2" s="82" t="s">
        <v>91</v>
      </c>
      <c r="D2" s="85" t="s">
        <v>106</v>
      </c>
      <c r="E2" s="80"/>
      <c r="F2" s="306" t="s">
        <v>48</v>
      </c>
      <c r="G2" s="307"/>
      <c r="H2" s="308"/>
      <c r="I2" s="306" t="s">
        <v>52</v>
      </c>
      <c r="J2" s="308"/>
      <c r="K2" s="36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</row>
    <row r="3" spans="1:173" s="78" customFormat="1" ht="20.45" customHeight="1" x14ac:dyDescent="0.2">
      <c r="A3" s="37">
        <v>37.5</v>
      </c>
      <c r="B3" s="71">
        <f>PARAMETROS!B8</f>
        <v>2476.6299999999997</v>
      </c>
      <c r="C3" s="72"/>
      <c r="D3" s="73">
        <f>IF(B3&lt;C3,C3*$H$18%,B3*$H$18%)</f>
        <v>794.25524099999984</v>
      </c>
      <c r="E3" s="34"/>
      <c r="F3" s="121" t="s">
        <v>47</v>
      </c>
      <c r="G3" s="121" t="s">
        <v>58</v>
      </c>
      <c r="H3" s="121" t="s">
        <v>59</v>
      </c>
      <c r="I3" s="122" t="s">
        <v>50</v>
      </c>
      <c r="J3" s="121" t="s">
        <v>51</v>
      </c>
      <c r="K3" s="27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</row>
    <row r="4" spans="1:173" s="79" customFormat="1" ht="15" customHeight="1" x14ac:dyDescent="0.2">
      <c r="A4" s="38">
        <v>36</v>
      </c>
      <c r="B4" s="73">
        <f>PRODUCT(PARAMETROS!B$8,A4)/A$3</f>
        <v>2377.5647999999997</v>
      </c>
      <c r="C4" s="74">
        <f t="shared" ref="C4:C39" si="0">(A4/$A$3*7.5*5)/7*30*$C$43</f>
        <v>1283.6571428571431</v>
      </c>
      <c r="D4" s="73">
        <f>IF(B4&lt;C4,C4*$H$18%,B4*$H$18%)</f>
        <v>762.48503135999988</v>
      </c>
      <c r="E4" s="34"/>
      <c r="F4" s="309">
        <v>5</v>
      </c>
      <c r="G4" s="236">
        <v>1381.2</v>
      </c>
      <c r="H4" s="236">
        <v>4909.5</v>
      </c>
      <c r="I4" s="231">
        <v>1381.2</v>
      </c>
      <c r="J4" s="231">
        <v>4909.5</v>
      </c>
      <c r="K4" s="8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</row>
    <row r="5" spans="1:173" s="79" customFormat="1" ht="15" customHeight="1" x14ac:dyDescent="0.2">
      <c r="A5" s="38">
        <v>35</v>
      </c>
      <c r="B5" s="73">
        <f>PRODUCT(PARAMETROS!B$8,A5)/A$3</f>
        <v>2311.5213333333331</v>
      </c>
      <c r="C5" s="74">
        <f t="shared" si="0"/>
        <v>1248</v>
      </c>
      <c r="D5" s="73">
        <f t="shared" ref="D5:D39" si="1">IF(B5&lt;C5,C5*$H$18%,B5*$H$18%)</f>
        <v>741.30489159999991</v>
      </c>
      <c r="E5" s="34"/>
      <c r="F5" s="310"/>
      <c r="G5" s="237"/>
      <c r="H5" s="237"/>
      <c r="I5" s="232"/>
      <c r="J5" s="232"/>
      <c r="K5" s="8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</row>
    <row r="6" spans="1:173" s="79" customFormat="1" ht="15" customHeight="1" x14ac:dyDescent="0.2">
      <c r="A6" s="38">
        <v>34</v>
      </c>
      <c r="B6" s="73">
        <f>PRODUCT(PARAMETROS!B$8,A6)/A$3</f>
        <v>2245.4778666666662</v>
      </c>
      <c r="C6" s="74">
        <f t="shared" si="0"/>
        <v>1212.3428571428569</v>
      </c>
      <c r="D6" s="73">
        <f t="shared" si="1"/>
        <v>720.12475183999982</v>
      </c>
      <c r="E6" s="34"/>
      <c r="F6" s="35"/>
      <c r="G6" s="8"/>
      <c r="H6" s="8"/>
      <c r="I6" s="112"/>
      <c r="J6" s="8"/>
      <c r="K6" s="8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</row>
    <row r="7" spans="1:173" s="79" customFormat="1" ht="15" customHeight="1" thickBot="1" x14ac:dyDescent="0.25">
      <c r="A7" s="38">
        <v>33</v>
      </c>
      <c r="B7" s="73">
        <f>PRODUCT(PARAMETROS!B$8,A7)/A$3</f>
        <v>2179.4343999999996</v>
      </c>
      <c r="C7" s="74">
        <f t="shared" si="0"/>
        <v>1176.6857142857145</v>
      </c>
      <c r="D7" s="73">
        <f t="shared" si="1"/>
        <v>698.94461207999984</v>
      </c>
      <c r="E7" s="34"/>
      <c r="F7" s="35"/>
      <c r="G7" s="19"/>
      <c r="H7" s="8"/>
      <c r="I7" s="112"/>
      <c r="J7" s="8"/>
      <c r="K7" s="8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</row>
    <row r="8" spans="1:173" s="79" customFormat="1" ht="15" customHeight="1" x14ac:dyDescent="0.2">
      <c r="A8" s="38">
        <v>32</v>
      </c>
      <c r="B8" s="73">
        <f>PRODUCT(PARAMETROS!B$8,A8)/A$3</f>
        <v>2113.3909333333331</v>
      </c>
      <c r="C8" s="74">
        <f t="shared" si="0"/>
        <v>1141.0285714285715</v>
      </c>
      <c r="D8" s="73">
        <f t="shared" si="1"/>
        <v>677.76447231999987</v>
      </c>
      <c r="E8" s="34"/>
      <c r="F8" s="218" t="s">
        <v>88</v>
      </c>
      <c r="G8" s="218"/>
      <c r="H8" s="219"/>
      <c r="I8" s="216"/>
      <c r="J8" s="8"/>
      <c r="K8" s="8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</row>
    <row r="9" spans="1:173" s="79" customFormat="1" ht="15" customHeight="1" thickBot="1" x14ac:dyDescent="0.25">
      <c r="A9" s="38">
        <v>31</v>
      </c>
      <c r="B9" s="73">
        <f>PRODUCT(PARAMETROS!B$8,A9)/A$3</f>
        <v>2047.3474666666662</v>
      </c>
      <c r="C9" s="74">
        <f t="shared" si="0"/>
        <v>1105.3714285714286</v>
      </c>
      <c r="D9" s="73">
        <f t="shared" si="1"/>
        <v>656.58433255999978</v>
      </c>
      <c r="E9" s="34"/>
      <c r="F9" s="218"/>
      <c r="G9" s="218"/>
      <c r="H9" s="219"/>
      <c r="I9" s="217"/>
      <c r="J9" s="8"/>
      <c r="K9" s="8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</row>
    <row r="10" spans="1:173" s="79" customFormat="1" ht="15" customHeight="1" thickBot="1" x14ac:dyDescent="0.25">
      <c r="A10" s="38">
        <v>30</v>
      </c>
      <c r="B10" s="73">
        <f>PRODUCT(PARAMETROS!B$8,A10)/A$3</f>
        <v>1981.3039999999999</v>
      </c>
      <c r="C10" s="74">
        <f t="shared" si="0"/>
        <v>1069.7142857142856</v>
      </c>
      <c r="D10" s="73">
        <f t="shared" si="1"/>
        <v>635.40419279999992</v>
      </c>
      <c r="E10" s="34"/>
      <c r="F10" s="117"/>
      <c r="G10" s="118"/>
      <c r="H10" s="119"/>
      <c r="I10" s="120"/>
      <c r="J10" s="8"/>
      <c r="K10" s="8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</row>
    <row r="11" spans="1:173" s="79" customFormat="1" ht="15" customHeight="1" x14ac:dyDescent="0.2">
      <c r="A11" s="38">
        <v>29</v>
      </c>
      <c r="B11" s="73">
        <f>PRODUCT(PARAMETROS!B$8,A11)/A$3</f>
        <v>1915.2605333333331</v>
      </c>
      <c r="C11" s="74">
        <f t="shared" si="0"/>
        <v>1034.0571428571429</v>
      </c>
      <c r="D11" s="73">
        <f t="shared" si="1"/>
        <v>614.22405303999994</v>
      </c>
      <c r="E11" s="34"/>
      <c r="F11" s="220" t="s">
        <v>60</v>
      </c>
      <c r="G11" s="221"/>
      <c r="H11" s="221"/>
      <c r="I11" s="222"/>
      <c r="J11" s="8"/>
      <c r="K11" s="8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</row>
    <row r="12" spans="1:173" s="79" customFormat="1" ht="15" customHeight="1" thickBot="1" x14ac:dyDescent="0.25">
      <c r="A12" s="38">
        <v>28</v>
      </c>
      <c r="B12" s="73">
        <f>PRODUCT(PARAMETROS!B$8,A12)/A$3</f>
        <v>1849.2170666666664</v>
      </c>
      <c r="C12" s="74">
        <f t="shared" si="0"/>
        <v>998.40000000000032</v>
      </c>
      <c r="D12" s="73">
        <f t="shared" si="1"/>
        <v>593.04391327999986</v>
      </c>
      <c r="E12" s="34"/>
      <c r="F12" s="223"/>
      <c r="G12" s="224"/>
      <c r="H12" s="224"/>
      <c r="I12" s="225"/>
      <c r="J12" s="8"/>
      <c r="K12" s="8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</row>
    <row r="13" spans="1:173" s="79" customFormat="1" ht="15" customHeight="1" thickBot="1" x14ac:dyDescent="0.25">
      <c r="A13" s="38">
        <v>27</v>
      </c>
      <c r="B13" s="73">
        <f>PRODUCT(PARAMETROS!B$8,A13)/A$3</f>
        <v>1783.1735999999999</v>
      </c>
      <c r="C13" s="74">
        <f t="shared" si="0"/>
        <v>962.74285714285713</v>
      </c>
      <c r="D13" s="73">
        <f t="shared" si="1"/>
        <v>571.86377351999988</v>
      </c>
      <c r="E13" s="34"/>
      <c r="F13" s="114"/>
      <c r="G13" s="132" t="s">
        <v>53</v>
      </c>
      <c r="H13" s="130" t="s">
        <v>54</v>
      </c>
      <c r="I13" s="139" t="s">
        <v>55</v>
      </c>
      <c r="J13" s="8"/>
      <c r="K13" s="8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</row>
    <row r="14" spans="1:173" s="79" customFormat="1" ht="15" customHeight="1" x14ac:dyDescent="0.2">
      <c r="A14" s="38">
        <v>26</v>
      </c>
      <c r="B14" s="73">
        <f>PRODUCT(PARAMETROS!B$8,A14)/A$3</f>
        <v>1717.1301333333331</v>
      </c>
      <c r="C14" s="74">
        <f t="shared" si="0"/>
        <v>927.08571428571429</v>
      </c>
      <c r="D14" s="73">
        <f t="shared" si="1"/>
        <v>550.68363375999991</v>
      </c>
      <c r="E14" s="34"/>
      <c r="F14" s="243" t="s">
        <v>56</v>
      </c>
      <c r="G14" s="245">
        <f>IF(I8&gt;=G4,I8,G4)</f>
        <v>1381.2</v>
      </c>
      <c r="H14" s="263">
        <v>24.27</v>
      </c>
      <c r="I14" s="252">
        <f>G14*H14%</f>
        <v>335.21724</v>
      </c>
      <c r="J14" s="8"/>
      <c r="K14" s="8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</row>
    <row r="15" spans="1:173" s="79" customFormat="1" ht="15" customHeight="1" thickBot="1" x14ac:dyDescent="0.25">
      <c r="A15" s="38">
        <v>25</v>
      </c>
      <c r="B15" s="73">
        <f>PRODUCT(PARAMETROS!B$8,A15)/A$3</f>
        <v>1651.0866666666664</v>
      </c>
      <c r="C15" s="74">
        <f t="shared" si="0"/>
        <v>891.42857142857156</v>
      </c>
      <c r="D15" s="73">
        <f t="shared" si="1"/>
        <v>529.50349399999993</v>
      </c>
      <c r="E15" s="34"/>
      <c r="F15" s="244"/>
      <c r="G15" s="246"/>
      <c r="H15" s="264"/>
      <c r="I15" s="265"/>
      <c r="J15" s="8"/>
      <c r="K15" s="8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</row>
    <row r="16" spans="1:173" s="79" customFormat="1" ht="15" customHeight="1" x14ac:dyDescent="0.2">
      <c r="A16" s="38">
        <v>24</v>
      </c>
      <c r="B16" s="73">
        <f>PRODUCT(PARAMETROS!B$8,A16)/A$3</f>
        <v>1585.0431999999998</v>
      </c>
      <c r="C16" s="74">
        <f t="shared" si="0"/>
        <v>855.77142857142849</v>
      </c>
      <c r="D16" s="73">
        <f t="shared" si="1"/>
        <v>508.3233542399999</v>
      </c>
      <c r="E16" s="34"/>
      <c r="F16" s="243" t="s">
        <v>57</v>
      </c>
      <c r="G16" s="245">
        <f>IF(I8&gt;=I4,I8,I4)</f>
        <v>1381.2</v>
      </c>
      <c r="H16" s="263">
        <v>7.8</v>
      </c>
      <c r="I16" s="252">
        <f>G16*H16%</f>
        <v>107.73360000000001</v>
      </c>
      <c r="J16" s="8"/>
      <c r="K16" s="8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</row>
    <row r="17" spans="1:173" s="79" customFormat="1" ht="15" customHeight="1" thickBot="1" x14ac:dyDescent="0.25">
      <c r="A17" s="38">
        <v>23</v>
      </c>
      <c r="B17" s="73">
        <f>PRODUCT(PARAMETROS!B$8,A17)/A$3</f>
        <v>1518.9997333333331</v>
      </c>
      <c r="C17" s="74">
        <f t="shared" si="0"/>
        <v>820.11428571428576</v>
      </c>
      <c r="D17" s="73">
        <f t="shared" si="1"/>
        <v>487.14321447999993</v>
      </c>
      <c r="E17" s="34"/>
      <c r="F17" s="244"/>
      <c r="G17" s="246"/>
      <c r="H17" s="264"/>
      <c r="I17" s="265"/>
      <c r="J17" s="8"/>
      <c r="K17" s="8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</row>
    <row r="18" spans="1:173" s="79" customFormat="1" ht="15" customHeight="1" thickBot="1" x14ac:dyDescent="0.25">
      <c r="A18" s="38">
        <v>22</v>
      </c>
      <c r="B18" s="73">
        <f>PRODUCT(PARAMETROS!B$8,A18)/A$3</f>
        <v>1452.9562666666666</v>
      </c>
      <c r="C18" s="74">
        <f t="shared" si="0"/>
        <v>784.4571428571428</v>
      </c>
      <c r="D18" s="73">
        <f t="shared" si="1"/>
        <v>465.96307471999995</v>
      </c>
      <c r="E18" s="34"/>
      <c r="F18" s="250" t="s">
        <v>61</v>
      </c>
      <c r="G18" s="251"/>
      <c r="H18" s="131">
        <f>(H14+H16)</f>
        <v>32.07</v>
      </c>
      <c r="I18" s="127">
        <f>SUM(I14:I17)</f>
        <v>442.95084000000003</v>
      </c>
      <c r="J18" s="8"/>
      <c r="K18" s="8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</row>
    <row r="19" spans="1:173" s="79" customFormat="1" ht="15" customHeight="1" x14ac:dyDescent="0.2">
      <c r="A19" s="38">
        <v>21</v>
      </c>
      <c r="B19" s="73">
        <f>PRODUCT(PARAMETROS!B$8,A19)/A$3</f>
        <v>1386.9127999999998</v>
      </c>
      <c r="C19" s="74">
        <f t="shared" si="0"/>
        <v>748.80000000000007</v>
      </c>
      <c r="D19" s="73">
        <f t="shared" si="1"/>
        <v>444.78293495999992</v>
      </c>
      <c r="E19" s="34"/>
      <c r="F19" s="123"/>
      <c r="G19" s="124"/>
      <c r="H19" s="125"/>
      <c r="I19" s="126"/>
      <c r="J19" s="8"/>
      <c r="K19" s="8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</row>
    <row r="20" spans="1:173" s="79" customFormat="1" ht="15" customHeight="1" x14ac:dyDescent="0.2">
      <c r="A20" s="38">
        <v>20</v>
      </c>
      <c r="B20" s="73">
        <f>PRODUCT(PARAMETROS!B$8,A20)/A$3</f>
        <v>1320.8693333333331</v>
      </c>
      <c r="C20" s="74">
        <f t="shared" si="0"/>
        <v>713.14285714285722</v>
      </c>
      <c r="D20" s="73">
        <f t="shared" si="1"/>
        <v>423.60279519999989</v>
      </c>
      <c r="E20" s="34"/>
      <c r="F20" s="249" t="s">
        <v>75</v>
      </c>
      <c r="G20" s="249"/>
      <c r="H20" s="249"/>
      <c r="I20" s="249"/>
      <c r="J20" s="249"/>
      <c r="K20" s="14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</row>
    <row r="21" spans="1:173" s="79" customFormat="1" ht="15" customHeight="1" x14ac:dyDescent="0.2">
      <c r="A21" s="38">
        <v>19</v>
      </c>
      <c r="B21" s="73">
        <f>PRODUCT(PARAMETROS!B$8,A21)/A$3</f>
        <v>1254.8258666666666</v>
      </c>
      <c r="C21" s="74">
        <f t="shared" si="0"/>
        <v>677.48571428571438</v>
      </c>
      <c r="D21" s="73">
        <f t="shared" si="1"/>
        <v>402.42265543999997</v>
      </c>
      <c r="E21" s="34"/>
      <c r="F21" s="249"/>
      <c r="G21" s="249"/>
      <c r="H21" s="249"/>
      <c r="I21" s="249"/>
      <c r="J21" s="249"/>
      <c r="K21" s="14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</row>
    <row r="22" spans="1:173" s="79" customFormat="1" ht="15" customHeight="1" thickBot="1" x14ac:dyDescent="0.25">
      <c r="A22" s="38">
        <v>18</v>
      </c>
      <c r="B22" s="73">
        <f>PRODUCT(PARAMETROS!B$8,A22)/A$3</f>
        <v>1188.7823999999998</v>
      </c>
      <c r="C22" s="74">
        <f t="shared" si="0"/>
        <v>641.82857142857154</v>
      </c>
      <c r="D22" s="73">
        <f t="shared" si="1"/>
        <v>381.24251567999994</v>
      </c>
      <c r="E22" s="34"/>
      <c r="F22" s="35"/>
      <c r="G22" s="19"/>
      <c r="H22" s="8"/>
      <c r="I22" s="112"/>
      <c r="J22" s="8"/>
      <c r="K22" s="8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</row>
    <row r="23" spans="1:173" s="79" customFormat="1" ht="15" customHeight="1" x14ac:dyDescent="0.2">
      <c r="A23" s="38">
        <v>17</v>
      </c>
      <c r="B23" s="73">
        <f>PRODUCT(PARAMETROS!B$8,A23)/A$3</f>
        <v>1122.7389333333331</v>
      </c>
      <c r="C23" s="74">
        <f t="shared" si="0"/>
        <v>606.17142857142846</v>
      </c>
      <c r="D23" s="73">
        <f t="shared" si="1"/>
        <v>360.06237591999991</v>
      </c>
      <c r="E23" s="34"/>
      <c r="F23" s="218" t="s">
        <v>62</v>
      </c>
      <c r="G23" s="218"/>
      <c r="H23" s="219"/>
      <c r="I23" s="266">
        <v>0</v>
      </c>
      <c r="J23" s="8"/>
      <c r="K23" s="8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</row>
    <row r="24" spans="1:173" s="79" customFormat="1" ht="15" customHeight="1" thickBot="1" x14ac:dyDescent="0.25">
      <c r="A24" s="38">
        <v>16</v>
      </c>
      <c r="B24" s="73">
        <f>PRODUCT(PARAMETROS!B$8,A24)/A$3</f>
        <v>1056.6954666666666</v>
      </c>
      <c r="C24" s="74">
        <f t="shared" si="0"/>
        <v>570.51428571428573</v>
      </c>
      <c r="D24" s="73">
        <f t="shared" si="1"/>
        <v>338.88223615999993</v>
      </c>
      <c r="E24" s="34"/>
      <c r="F24" s="218"/>
      <c r="G24" s="218"/>
      <c r="H24" s="219"/>
      <c r="I24" s="267"/>
      <c r="J24" s="8"/>
      <c r="K24" s="8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</row>
    <row r="25" spans="1:173" s="79" customFormat="1" ht="15" customHeight="1" thickBot="1" x14ac:dyDescent="0.25">
      <c r="A25" s="38">
        <v>15</v>
      </c>
      <c r="B25" s="73">
        <f>PRODUCT(PARAMETROS!B$8,A25)/A$3</f>
        <v>990.65199999999993</v>
      </c>
      <c r="C25" s="74">
        <f t="shared" si="0"/>
        <v>534.85714285714278</v>
      </c>
      <c r="D25" s="73">
        <f t="shared" si="1"/>
        <v>317.70209639999996</v>
      </c>
      <c r="E25" s="34"/>
      <c r="F25" s="35"/>
      <c r="G25" s="19"/>
      <c r="H25" s="8"/>
      <c r="I25" s="112"/>
      <c r="J25" s="8"/>
      <c r="K25" s="8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</row>
    <row r="26" spans="1:173" s="79" customFormat="1" ht="15" customHeight="1" x14ac:dyDescent="0.2">
      <c r="A26" s="38">
        <v>14</v>
      </c>
      <c r="B26" s="73">
        <f>PRODUCT(PARAMETROS!B$8,A26)/A$3</f>
        <v>924.60853333333318</v>
      </c>
      <c r="C26" s="74">
        <f t="shared" si="0"/>
        <v>499.20000000000016</v>
      </c>
      <c r="D26" s="73">
        <f t="shared" si="1"/>
        <v>296.52195663999993</v>
      </c>
      <c r="E26" s="34"/>
      <c r="F26" s="218" t="s">
        <v>67</v>
      </c>
      <c r="G26" s="218"/>
      <c r="H26" s="219"/>
      <c r="I26" s="216">
        <v>0</v>
      </c>
      <c r="J26" s="8"/>
      <c r="K26" s="8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</row>
    <row r="27" spans="1:173" s="79" customFormat="1" ht="15" customHeight="1" thickBot="1" x14ac:dyDescent="0.25">
      <c r="A27" s="38">
        <v>13</v>
      </c>
      <c r="B27" s="73">
        <f>PRODUCT(PARAMETROS!B$8,A27)/A$3</f>
        <v>858.56506666666655</v>
      </c>
      <c r="C27" s="74">
        <f t="shared" si="0"/>
        <v>463.54285714285714</v>
      </c>
      <c r="D27" s="73">
        <f t="shared" si="1"/>
        <v>275.34181687999995</v>
      </c>
      <c r="E27" s="34"/>
      <c r="F27" s="218"/>
      <c r="G27" s="218"/>
      <c r="H27" s="219"/>
      <c r="I27" s="217"/>
      <c r="J27" s="8"/>
      <c r="K27" s="8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</row>
    <row r="28" spans="1:173" s="79" customFormat="1" ht="15" customHeight="1" thickBot="1" x14ac:dyDescent="0.25">
      <c r="A28" s="38">
        <v>12</v>
      </c>
      <c r="B28" s="73">
        <f>PRODUCT(PARAMETROS!B$8,A28)/A$3</f>
        <v>792.52159999999992</v>
      </c>
      <c r="C28" s="74">
        <f t="shared" si="0"/>
        <v>427.88571428571424</v>
      </c>
      <c r="D28" s="73">
        <f t="shared" si="1"/>
        <v>254.16167711999995</v>
      </c>
      <c r="E28" s="34"/>
      <c r="F28" s="35"/>
      <c r="G28" s="19"/>
      <c r="H28" s="8"/>
      <c r="I28" s="112"/>
      <c r="J28" s="8"/>
      <c r="K28" s="8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</row>
    <row r="29" spans="1:173" s="79" customFormat="1" ht="15" customHeight="1" x14ac:dyDescent="0.2">
      <c r="A29" s="38">
        <v>11</v>
      </c>
      <c r="B29" s="73">
        <f>PRODUCT(PARAMETROS!B$8,A29)/A$3</f>
        <v>726.47813333333329</v>
      </c>
      <c r="C29" s="74">
        <f t="shared" si="0"/>
        <v>392.2285714285714</v>
      </c>
      <c r="D29" s="73">
        <f t="shared" si="1"/>
        <v>232.98153735999998</v>
      </c>
      <c r="E29" s="34"/>
      <c r="F29" s="220" t="s">
        <v>63</v>
      </c>
      <c r="G29" s="221"/>
      <c r="H29" s="221"/>
      <c r="I29" s="222"/>
      <c r="J29" s="8"/>
      <c r="K29" s="8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</row>
    <row r="30" spans="1:173" s="79" customFormat="1" ht="15" customHeight="1" thickBot="1" x14ac:dyDescent="0.25">
      <c r="A30" s="38">
        <v>10</v>
      </c>
      <c r="B30" s="73">
        <f>PRODUCT(PARAMETROS!B$8,A30)/A$3</f>
        <v>660.43466666666654</v>
      </c>
      <c r="C30" s="74">
        <f t="shared" si="0"/>
        <v>356.57142857142861</v>
      </c>
      <c r="D30" s="73">
        <f t="shared" si="1"/>
        <v>211.80139759999994</v>
      </c>
      <c r="E30" s="34"/>
      <c r="F30" s="223"/>
      <c r="G30" s="224"/>
      <c r="H30" s="224"/>
      <c r="I30" s="225"/>
      <c r="J30" s="8"/>
      <c r="K30" s="8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</row>
    <row r="31" spans="1:173" s="79" customFormat="1" ht="15" customHeight="1" thickBot="1" x14ac:dyDescent="0.25">
      <c r="A31" s="38">
        <v>9</v>
      </c>
      <c r="B31" s="73">
        <f>PRODUCT(PARAMETROS!B$8,A31)/A$3</f>
        <v>594.39119999999991</v>
      </c>
      <c r="C31" s="74">
        <f t="shared" si="0"/>
        <v>320.91428571428577</v>
      </c>
      <c r="D31" s="73">
        <f t="shared" si="1"/>
        <v>190.62125783999997</v>
      </c>
      <c r="E31" s="34"/>
      <c r="F31" s="134" t="s">
        <v>68</v>
      </c>
      <c r="G31" s="132" t="s">
        <v>53</v>
      </c>
      <c r="H31" s="130" t="s">
        <v>69</v>
      </c>
      <c r="I31" s="116" t="s">
        <v>55</v>
      </c>
      <c r="J31" s="8"/>
      <c r="K31" s="8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</row>
    <row r="32" spans="1:173" s="79" customFormat="1" ht="15" customHeight="1" x14ac:dyDescent="0.2">
      <c r="A32" s="38">
        <v>8</v>
      </c>
      <c r="B32" s="73">
        <f>PRODUCT(PARAMETROS!B$8,A32)/A$3</f>
        <v>528.34773333333328</v>
      </c>
      <c r="C32" s="74">
        <f t="shared" si="0"/>
        <v>285.25714285714287</v>
      </c>
      <c r="D32" s="73">
        <f t="shared" si="1"/>
        <v>169.44111807999997</v>
      </c>
      <c r="E32" s="34"/>
      <c r="F32" s="305">
        <f>((I23/37.5*7.5*5)/7)*30*$C$43</f>
        <v>0</v>
      </c>
      <c r="G32" s="261">
        <f>IF(I26&lt;F32,F32,I26)</f>
        <v>0</v>
      </c>
      <c r="H32" s="263">
        <v>32.07</v>
      </c>
      <c r="I32" s="252">
        <f>G32*H32%</f>
        <v>0</v>
      </c>
      <c r="J32" s="8"/>
      <c r="K32" s="8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</row>
    <row r="33" spans="1:173" s="79" customFormat="1" ht="15" customHeight="1" thickBot="1" x14ac:dyDescent="0.25">
      <c r="A33" s="38">
        <v>7</v>
      </c>
      <c r="B33" s="73">
        <f>PRODUCT(PARAMETROS!B$8,A33)/A$3</f>
        <v>462.30426666666659</v>
      </c>
      <c r="C33" s="74">
        <f t="shared" si="0"/>
        <v>249.60000000000008</v>
      </c>
      <c r="D33" s="73">
        <f t="shared" si="1"/>
        <v>148.26097831999996</v>
      </c>
      <c r="E33" s="34"/>
      <c r="F33" s="260"/>
      <c r="G33" s="262"/>
      <c r="H33" s="264"/>
      <c r="I33" s="265"/>
      <c r="J33" s="8"/>
      <c r="K33" s="8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</row>
    <row r="34" spans="1:173" s="79" customFormat="1" ht="15" customHeight="1" thickBot="1" x14ac:dyDescent="0.25">
      <c r="A34" s="38">
        <v>6</v>
      </c>
      <c r="B34" s="73">
        <f>PRODUCT(PARAMETROS!B$8,A34)/A$3</f>
        <v>396.26079999999996</v>
      </c>
      <c r="C34" s="74">
        <f t="shared" si="0"/>
        <v>213.94285714285712</v>
      </c>
      <c r="D34" s="73">
        <f t="shared" si="1"/>
        <v>127.08083855999998</v>
      </c>
      <c r="E34" s="34"/>
      <c r="F34" s="254" t="s">
        <v>64</v>
      </c>
      <c r="G34" s="255"/>
      <c r="H34" s="256"/>
      <c r="I34" s="127">
        <f>SUM(I32)</f>
        <v>0</v>
      </c>
      <c r="J34" s="8"/>
      <c r="K34" s="8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</row>
    <row r="35" spans="1:173" s="79" customFormat="1" ht="15" customHeight="1" x14ac:dyDescent="0.2">
      <c r="A35" s="38">
        <v>5</v>
      </c>
      <c r="B35" s="73">
        <f>PRODUCT(PARAMETROS!B$8,A35)/A$3</f>
        <v>330.21733333333327</v>
      </c>
      <c r="C35" s="74">
        <f t="shared" si="0"/>
        <v>178.28571428571431</v>
      </c>
      <c r="D35" s="73">
        <f t="shared" si="1"/>
        <v>105.90069879999997</v>
      </c>
      <c r="E35" s="34"/>
      <c r="F35" s="35"/>
      <c r="G35" s="19"/>
      <c r="H35" s="8"/>
      <c r="I35" s="112"/>
      <c r="J35" s="8"/>
      <c r="K35" s="133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</row>
    <row r="36" spans="1:173" s="79" customFormat="1" ht="15" customHeight="1" x14ac:dyDescent="0.2">
      <c r="A36" s="38">
        <v>4</v>
      </c>
      <c r="B36" s="73">
        <f>PRODUCT(PARAMETROS!B$8,A36)/A$3</f>
        <v>264.17386666666664</v>
      </c>
      <c r="C36" s="74">
        <f t="shared" si="0"/>
        <v>142.62857142857143</v>
      </c>
      <c r="D36" s="73">
        <f t="shared" si="1"/>
        <v>84.720559039999983</v>
      </c>
      <c r="E36" s="34"/>
      <c r="F36" s="279" t="s">
        <v>66</v>
      </c>
      <c r="G36" s="279"/>
      <c r="H36" s="279"/>
      <c r="I36" s="258" t="s">
        <v>98</v>
      </c>
      <c r="J36" s="34"/>
      <c r="K36" s="133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</row>
    <row r="37" spans="1:173" s="79" customFormat="1" ht="15" customHeight="1" x14ac:dyDescent="0.2">
      <c r="A37" s="38">
        <v>3</v>
      </c>
      <c r="B37" s="73">
        <f>PRODUCT(PARAMETROS!B$8,A37)/A$3</f>
        <v>198.13039999999998</v>
      </c>
      <c r="C37" s="74">
        <f t="shared" si="0"/>
        <v>106.97142857142856</v>
      </c>
      <c r="D37" s="73">
        <f t="shared" si="1"/>
        <v>63.540419279999988</v>
      </c>
      <c r="E37" s="34"/>
      <c r="F37" s="279"/>
      <c r="G37" s="279"/>
      <c r="H37" s="279"/>
      <c r="I37" s="258"/>
      <c r="J37" s="34"/>
      <c r="K37" s="133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</row>
    <row r="38" spans="1:173" s="79" customFormat="1" ht="15" customHeight="1" x14ac:dyDescent="0.2">
      <c r="A38" s="38">
        <v>2</v>
      </c>
      <c r="B38" s="73">
        <f>PRODUCT(PARAMETROS!B$8,A38)/A$3</f>
        <v>132.08693333333332</v>
      </c>
      <c r="C38" s="74">
        <f t="shared" si="0"/>
        <v>71.314285714285717</v>
      </c>
      <c r="D38" s="73">
        <f t="shared" si="1"/>
        <v>42.360279519999992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</row>
    <row r="39" spans="1:173" s="79" customFormat="1" ht="15" customHeight="1" x14ac:dyDescent="0.2">
      <c r="A39" s="39">
        <v>1</v>
      </c>
      <c r="B39" s="75">
        <f>PRODUCT(PARAMETROS!B$8,A39)/A$3</f>
        <v>66.04346666666666</v>
      </c>
      <c r="C39" s="76">
        <f t="shared" si="0"/>
        <v>35.657142857142858</v>
      </c>
      <c r="D39" s="75">
        <f t="shared" si="1"/>
        <v>21.180139759999996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</row>
    <row r="40" spans="1:173" hidden="1" x14ac:dyDescent="0.2"/>
    <row r="41" spans="1:173" hidden="1" x14ac:dyDescent="0.2">
      <c r="C41" s="208" t="s">
        <v>94</v>
      </c>
    </row>
    <row r="42" spans="1:173" ht="13.5" hidden="1" thickBot="1" x14ac:dyDescent="0.25"/>
    <row r="43" spans="1:173" s="8" customFormat="1" ht="26.25" hidden="1" thickBot="1" x14ac:dyDescent="0.25">
      <c r="A43" s="33"/>
      <c r="B43" s="203" t="s">
        <v>33</v>
      </c>
      <c r="C43" s="204">
        <v>8.32</v>
      </c>
      <c r="D43" s="106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</row>
  </sheetData>
  <sheetProtection algorithmName="SHA-512" hashValue="WR4NfOhO1WlNKSqpfeoDkpVm3QoERLGDda9eDkdVfw8zCUaq1bslIHK4Gzrjn+GB4wySGcztsEmAIVI9OjWmOQ==" saltValue="PrEOtZju6t4fmpvwWoEU/A==" spinCount="100000" sheet="1" objects="1" scenarios="1"/>
  <protectedRanges>
    <protectedRange sqref="I36" name="CALCULO RC"/>
    <protectedRange sqref="I8" name="RET TC_1"/>
    <protectedRange sqref="I23" name="DED_1"/>
    <protectedRange sqref="I26" name="RET TP_1"/>
  </protectedRanges>
  <mergeCells count="34">
    <mergeCell ref="A1:D1"/>
    <mergeCell ref="F2:H2"/>
    <mergeCell ref="I2:J2"/>
    <mergeCell ref="F4:F5"/>
    <mergeCell ref="G4:G5"/>
    <mergeCell ref="H4:H5"/>
    <mergeCell ref="I4:I5"/>
    <mergeCell ref="J4:J5"/>
    <mergeCell ref="F1:J1"/>
    <mergeCell ref="F8:H9"/>
    <mergeCell ref="I8:I9"/>
    <mergeCell ref="F11:I12"/>
    <mergeCell ref="F14:F15"/>
    <mergeCell ref="G14:G15"/>
    <mergeCell ref="H14:H15"/>
    <mergeCell ref="I14:I15"/>
    <mergeCell ref="F16:F17"/>
    <mergeCell ref="G16:G17"/>
    <mergeCell ref="H16:H17"/>
    <mergeCell ref="I16:I17"/>
    <mergeCell ref="F18:G18"/>
    <mergeCell ref="F20:J21"/>
    <mergeCell ref="F36:H37"/>
    <mergeCell ref="F34:H34"/>
    <mergeCell ref="I36:I37"/>
    <mergeCell ref="F29:I30"/>
    <mergeCell ref="F32:F33"/>
    <mergeCell ref="G32:G33"/>
    <mergeCell ref="H32:H33"/>
    <mergeCell ref="I32:I33"/>
    <mergeCell ref="F23:H24"/>
    <mergeCell ref="I23:I24"/>
    <mergeCell ref="F26:H27"/>
    <mergeCell ref="I26:I27"/>
  </mergeCells>
  <phoneticPr fontId="0" type="noConversion"/>
  <hyperlinks>
    <hyperlink ref="I36:I37" r:id="rId1" display="CALCULO RC E INDEMNIZACION" xr:uid="{00000000-0004-0000-0600-000000000000}"/>
  </hyperlinks>
  <printOptions horizontalCentered="1"/>
  <pageMargins left="0.94488188976377963" right="0.94488188976377963" top="0" bottom="0.39370078740157483" header="0" footer="0"/>
  <pageSetup paperSize="9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N44"/>
  <sheetViews>
    <sheetView tabSelected="1" topLeftCell="A28" zoomScaleNormal="100" workbookViewId="0">
      <selection activeCell="D59" sqref="D59"/>
    </sheetView>
  </sheetViews>
  <sheetFormatPr baseColWidth="10" defaultRowHeight="12.75" x14ac:dyDescent="0.2"/>
  <cols>
    <col min="1" max="1" width="25.28515625" style="1" bestFit="1" customWidth="1"/>
    <col min="2" max="2" width="35.7109375" style="1" customWidth="1"/>
    <col min="3" max="3" width="8.85546875" style="3" hidden="1" customWidth="1"/>
    <col min="4" max="4" width="32.7109375" style="1" customWidth="1"/>
    <col min="5" max="5" width="13.42578125" customWidth="1"/>
    <col min="6" max="6" width="20.28515625" customWidth="1"/>
    <col min="7" max="7" width="26.42578125" bestFit="1" customWidth="1"/>
    <col min="8" max="8" width="26.7109375" customWidth="1"/>
    <col min="9" max="9" width="17" customWidth="1"/>
    <col min="10" max="10" width="15.28515625" bestFit="1" customWidth="1"/>
  </cols>
  <sheetData>
    <row r="1" spans="1:170" s="8" customFormat="1" ht="65.25" customHeight="1" x14ac:dyDescent="0.2">
      <c r="A1" s="233" t="s">
        <v>112</v>
      </c>
      <c r="B1" s="233"/>
      <c r="C1" s="233"/>
      <c r="D1" s="233"/>
      <c r="E1" s="20"/>
      <c r="F1" s="238" t="s">
        <v>113</v>
      </c>
      <c r="G1" s="239"/>
      <c r="H1" s="239"/>
      <c r="I1" s="239"/>
      <c r="J1" s="240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</row>
    <row r="2" spans="1:170" s="27" customFormat="1" ht="25.5" x14ac:dyDescent="0.2">
      <c r="A2" s="40" t="s">
        <v>43</v>
      </c>
      <c r="B2" s="65" t="s">
        <v>44</v>
      </c>
      <c r="C2" s="86" t="s">
        <v>92</v>
      </c>
      <c r="D2" s="67" t="s">
        <v>106</v>
      </c>
      <c r="E2" s="17"/>
      <c r="F2" s="306" t="s">
        <v>48</v>
      </c>
      <c r="G2" s="307"/>
      <c r="H2" s="308"/>
      <c r="I2" s="306" t="s">
        <v>52</v>
      </c>
      <c r="J2" s="308"/>
      <c r="K2" s="36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</row>
    <row r="3" spans="1:170" ht="15" customHeight="1" x14ac:dyDescent="0.2">
      <c r="A3" s="37">
        <v>37.5</v>
      </c>
      <c r="B3" s="71">
        <f>PARAMETROS!B9</f>
        <v>2126.9646666666667</v>
      </c>
      <c r="C3" s="72"/>
      <c r="D3" s="73">
        <f>IF(B3&lt;C3,C3*$H$18%,B3*$H$18%)</f>
        <v>682.11756860000003</v>
      </c>
      <c r="F3" s="121" t="s">
        <v>47</v>
      </c>
      <c r="G3" s="121" t="s">
        <v>58</v>
      </c>
      <c r="H3" s="121" t="s">
        <v>59</v>
      </c>
      <c r="I3" s="122" t="s">
        <v>50</v>
      </c>
      <c r="J3" s="121" t="s">
        <v>51</v>
      </c>
      <c r="K3" s="27"/>
    </row>
    <row r="4" spans="1:170" ht="15" customHeight="1" x14ac:dyDescent="0.2">
      <c r="A4" s="38">
        <v>36</v>
      </c>
      <c r="B4" s="73">
        <f>PRODUCT(B$3,A4)/A$3</f>
        <v>2041.88608</v>
      </c>
      <c r="C4" s="74">
        <f t="shared" ref="C4:C39" si="0">(A4/$A$3*7.5*5)/7*30*$C$43</f>
        <v>1283.6571428571431</v>
      </c>
      <c r="D4" s="73">
        <f>IF(B4&lt;C4,C4*$H$18%,B4*$H$18%)</f>
        <v>654.83286585600001</v>
      </c>
      <c r="F4" s="309">
        <v>7</v>
      </c>
      <c r="G4" s="236">
        <v>1381.2</v>
      </c>
      <c r="H4" s="236">
        <v>4909.5</v>
      </c>
      <c r="I4" s="231">
        <v>1381.2</v>
      </c>
      <c r="J4" s="231">
        <v>4909.5</v>
      </c>
      <c r="K4" s="8"/>
    </row>
    <row r="5" spans="1:170" ht="15" customHeight="1" x14ac:dyDescent="0.2">
      <c r="A5" s="38">
        <v>35</v>
      </c>
      <c r="B5" s="73">
        <f>PRODUCT(B$3,A5)/A$3</f>
        <v>1985.1670222222224</v>
      </c>
      <c r="C5" s="74">
        <f t="shared" si="0"/>
        <v>1248</v>
      </c>
      <c r="D5" s="73">
        <f t="shared" ref="D5:D39" si="1">IF(B5&lt;C5,C5*$H$18%,B5*$H$18%)</f>
        <v>636.64306402666671</v>
      </c>
      <c r="F5" s="310"/>
      <c r="G5" s="237"/>
      <c r="H5" s="237"/>
      <c r="I5" s="232"/>
      <c r="J5" s="232"/>
      <c r="K5" s="8"/>
    </row>
    <row r="6" spans="1:170" ht="15" customHeight="1" x14ac:dyDescent="0.2">
      <c r="A6" s="38">
        <v>34</v>
      </c>
      <c r="B6" s="73">
        <f t="shared" ref="B6:B39" si="2">PRODUCT(B$3,A6)/A$3</f>
        <v>1928.4479644444446</v>
      </c>
      <c r="C6" s="74">
        <f t="shared" si="0"/>
        <v>1212.3428571428569</v>
      </c>
      <c r="D6" s="73">
        <f t="shared" si="1"/>
        <v>618.45326219733329</v>
      </c>
      <c r="F6" s="35"/>
      <c r="G6" s="8"/>
      <c r="H6" s="8"/>
      <c r="I6" s="112"/>
      <c r="J6" s="8"/>
      <c r="K6" s="8"/>
    </row>
    <row r="7" spans="1:170" ht="15" customHeight="1" thickBot="1" x14ac:dyDescent="0.25">
      <c r="A7" s="38">
        <v>33</v>
      </c>
      <c r="B7" s="73">
        <f t="shared" si="2"/>
        <v>1871.7289066666667</v>
      </c>
      <c r="C7" s="74">
        <f t="shared" si="0"/>
        <v>1176.6857142857145</v>
      </c>
      <c r="D7" s="73">
        <f t="shared" si="1"/>
        <v>600.26346036799998</v>
      </c>
      <c r="F7" s="35"/>
      <c r="G7" s="19"/>
      <c r="H7" s="8"/>
      <c r="I7" s="112"/>
      <c r="J7" s="8"/>
      <c r="K7" s="8"/>
    </row>
    <row r="8" spans="1:170" ht="15" customHeight="1" x14ac:dyDescent="0.2">
      <c r="A8" s="38">
        <v>32</v>
      </c>
      <c r="B8" s="73">
        <f t="shared" si="2"/>
        <v>1815.0098488888889</v>
      </c>
      <c r="C8" s="74">
        <f t="shared" si="0"/>
        <v>1141.0285714285715</v>
      </c>
      <c r="D8" s="73">
        <f t="shared" si="1"/>
        <v>582.07365853866668</v>
      </c>
      <c r="F8" s="218" t="s">
        <v>88</v>
      </c>
      <c r="G8" s="218"/>
      <c r="H8" s="219"/>
      <c r="I8" s="216">
        <v>0</v>
      </c>
      <c r="J8" s="8"/>
      <c r="K8" s="8"/>
    </row>
    <row r="9" spans="1:170" ht="15" customHeight="1" thickBot="1" x14ac:dyDescent="0.25">
      <c r="A9" s="38">
        <v>31</v>
      </c>
      <c r="B9" s="73">
        <f t="shared" si="2"/>
        <v>1758.2907911111113</v>
      </c>
      <c r="C9" s="74">
        <f t="shared" si="0"/>
        <v>1105.3714285714286</v>
      </c>
      <c r="D9" s="73">
        <f t="shared" si="1"/>
        <v>563.88385670933337</v>
      </c>
      <c r="F9" s="218"/>
      <c r="G9" s="218"/>
      <c r="H9" s="219"/>
      <c r="I9" s="217"/>
      <c r="J9" s="8"/>
      <c r="K9" s="8"/>
    </row>
    <row r="10" spans="1:170" ht="15" customHeight="1" thickBot="1" x14ac:dyDescent="0.25">
      <c r="A10" s="38">
        <v>30</v>
      </c>
      <c r="B10" s="73">
        <f t="shared" si="2"/>
        <v>1701.5717333333334</v>
      </c>
      <c r="C10" s="74">
        <f t="shared" si="0"/>
        <v>1069.7142857142856</v>
      </c>
      <c r="D10" s="73">
        <f t="shared" si="1"/>
        <v>545.69405487999995</v>
      </c>
      <c r="F10" s="117"/>
      <c r="G10" s="118"/>
      <c r="H10" s="119"/>
      <c r="I10" s="120"/>
      <c r="J10" s="8"/>
      <c r="K10" s="8"/>
    </row>
    <row r="11" spans="1:170" ht="15" customHeight="1" x14ac:dyDescent="0.2">
      <c r="A11" s="38">
        <v>29</v>
      </c>
      <c r="B11" s="73">
        <f t="shared" si="2"/>
        <v>1644.8526755555556</v>
      </c>
      <c r="C11" s="74">
        <f t="shared" si="0"/>
        <v>1034.0571428571429</v>
      </c>
      <c r="D11" s="73">
        <f t="shared" si="1"/>
        <v>527.50425305066665</v>
      </c>
      <c r="F11" s="220" t="s">
        <v>60</v>
      </c>
      <c r="G11" s="221"/>
      <c r="H11" s="221"/>
      <c r="I11" s="222"/>
      <c r="J11" s="8"/>
      <c r="K11" s="8"/>
    </row>
    <row r="12" spans="1:170" ht="15" customHeight="1" thickBot="1" x14ac:dyDescent="0.25">
      <c r="A12" s="38">
        <v>28</v>
      </c>
      <c r="B12" s="73">
        <f t="shared" si="2"/>
        <v>1588.1336177777778</v>
      </c>
      <c r="C12" s="74">
        <f t="shared" si="0"/>
        <v>998.40000000000032</v>
      </c>
      <c r="D12" s="73">
        <f t="shared" si="1"/>
        <v>509.31445122133329</v>
      </c>
      <c r="F12" s="223"/>
      <c r="G12" s="224"/>
      <c r="H12" s="224"/>
      <c r="I12" s="225"/>
      <c r="J12" s="8"/>
      <c r="K12" s="8"/>
    </row>
    <row r="13" spans="1:170" ht="15" customHeight="1" thickBot="1" x14ac:dyDescent="0.25">
      <c r="A13" s="38">
        <v>27</v>
      </c>
      <c r="B13" s="73">
        <f t="shared" si="2"/>
        <v>1531.4145600000002</v>
      </c>
      <c r="C13" s="74">
        <f t="shared" si="0"/>
        <v>962.74285714285713</v>
      </c>
      <c r="D13" s="73">
        <f t="shared" si="1"/>
        <v>491.12464939200004</v>
      </c>
      <c r="F13" s="114"/>
      <c r="G13" s="132" t="s">
        <v>53</v>
      </c>
      <c r="H13" s="130" t="s">
        <v>54</v>
      </c>
      <c r="I13" s="139" t="s">
        <v>55</v>
      </c>
      <c r="J13" s="8"/>
      <c r="K13" s="8"/>
    </row>
    <row r="14" spans="1:170" ht="15" customHeight="1" x14ac:dyDescent="0.2">
      <c r="A14" s="38">
        <v>26</v>
      </c>
      <c r="B14" s="73">
        <f t="shared" si="2"/>
        <v>1474.6955022222223</v>
      </c>
      <c r="C14" s="74">
        <f t="shared" si="0"/>
        <v>927.08571428571429</v>
      </c>
      <c r="D14" s="73">
        <f t="shared" si="1"/>
        <v>472.93484756266668</v>
      </c>
      <c r="F14" s="243" t="s">
        <v>56</v>
      </c>
      <c r="G14" s="245">
        <f>IF(I8&gt;=G4,I8,G4)</f>
        <v>1381.2</v>
      </c>
      <c r="H14" s="263">
        <v>24.27</v>
      </c>
      <c r="I14" s="252">
        <f>G14*H14%</f>
        <v>335.21724</v>
      </c>
      <c r="J14" s="8"/>
      <c r="K14" s="8"/>
    </row>
    <row r="15" spans="1:170" ht="15" customHeight="1" thickBot="1" x14ac:dyDescent="0.25">
      <c r="A15" s="38">
        <v>25</v>
      </c>
      <c r="B15" s="73">
        <f t="shared" si="2"/>
        <v>1417.9764444444445</v>
      </c>
      <c r="C15" s="74">
        <f t="shared" si="0"/>
        <v>891.42857142857156</v>
      </c>
      <c r="D15" s="73">
        <f t="shared" si="1"/>
        <v>454.74504573333331</v>
      </c>
      <c r="F15" s="244"/>
      <c r="G15" s="246"/>
      <c r="H15" s="264"/>
      <c r="I15" s="265"/>
      <c r="J15" s="8"/>
      <c r="K15" s="8"/>
    </row>
    <row r="16" spans="1:170" ht="15" customHeight="1" x14ac:dyDescent="0.2">
      <c r="A16" s="38">
        <v>24</v>
      </c>
      <c r="B16" s="73">
        <f t="shared" si="2"/>
        <v>1361.2573866666667</v>
      </c>
      <c r="C16" s="74">
        <f t="shared" si="0"/>
        <v>855.77142857142849</v>
      </c>
      <c r="D16" s="73">
        <f t="shared" si="1"/>
        <v>436.55524390399995</v>
      </c>
      <c r="F16" s="243" t="s">
        <v>57</v>
      </c>
      <c r="G16" s="245">
        <f>IF(I8&gt;=I4,I8,I4)</f>
        <v>1381.2</v>
      </c>
      <c r="H16" s="263">
        <v>7.8</v>
      </c>
      <c r="I16" s="252">
        <f>G16*H16%</f>
        <v>107.73360000000001</v>
      </c>
      <c r="J16" s="8"/>
      <c r="K16" s="8"/>
    </row>
    <row r="17" spans="1:11" ht="15" customHeight="1" thickBot="1" x14ac:dyDescent="0.25">
      <c r="A17" s="38">
        <v>23</v>
      </c>
      <c r="B17" s="73">
        <f t="shared" si="2"/>
        <v>1304.5383288888888</v>
      </c>
      <c r="C17" s="74">
        <f t="shared" si="0"/>
        <v>820.11428571428576</v>
      </c>
      <c r="D17" s="73">
        <f t="shared" si="1"/>
        <v>418.36544207466665</v>
      </c>
      <c r="F17" s="244"/>
      <c r="G17" s="246"/>
      <c r="H17" s="264"/>
      <c r="I17" s="265"/>
      <c r="J17" s="8"/>
      <c r="K17" s="8"/>
    </row>
    <row r="18" spans="1:11" ht="15" customHeight="1" thickBot="1" x14ac:dyDescent="0.25">
      <c r="A18" s="38">
        <v>22</v>
      </c>
      <c r="B18" s="73">
        <f t="shared" si="2"/>
        <v>1247.8192711111112</v>
      </c>
      <c r="C18" s="74">
        <f t="shared" si="0"/>
        <v>784.4571428571428</v>
      </c>
      <c r="D18" s="73">
        <f t="shared" si="1"/>
        <v>400.17564024533334</v>
      </c>
      <c r="F18" s="250" t="s">
        <v>61</v>
      </c>
      <c r="G18" s="251"/>
      <c r="H18" s="131">
        <f>(H14+H16)</f>
        <v>32.07</v>
      </c>
      <c r="I18" s="127">
        <f>SUM(I14:I17)</f>
        <v>442.95084000000003</v>
      </c>
      <c r="J18" s="8"/>
      <c r="K18" s="8"/>
    </row>
    <row r="19" spans="1:11" ht="15" customHeight="1" x14ac:dyDescent="0.2">
      <c r="A19" s="38">
        <v>21</v>
      </c>
      <c r="B19" s="73">
        <f t="shared" si="2"/>
        <v>1191.1002133333334</v>
      </c>
      <c r="C19" s="74">
        <f t="shared" si="0"/>
        <v>748.80000000000007</v>
      </c>
      <c r="D19" s="73">
        <f t="shared" si="1"/>
        <v>381.98583841599998</v>
      </c>
      <c r="F19" s="123"/>
      <c r="G19" s="124"/>
      <c r="H19" s="125"/>
      <c r="I19" s="126"/>
      <c r="J19" s="8"/>
      <c r="K19" s="8"/>
    </row>
    <row r="20" spans="1:11" ht="15" customHeight="1" x14ac:dyDescent="0.2">
      <c r="A20" s="38">
        <v>20</v>
      </c>
      <c r="B20" s="73">
        <f t="shared" si="2"/>
        <v>1134.3811555555556</v>
      </c>
      <c r="C20" s="74">
        <f t="shared" si="0"/>
        <v>713.14285714285722</v>
      </c>
      <c r="D20" s="73">
        <f t="shared" si="1"/>
        <v>363.79603658666667</v>
      </c>
      <c r="F20" s="249" t="s">
        <v>75</v>
      </c>
      <c r="G20" s="249"/>
      <c r="H20" s="249"/>
      <c r="I20" s="249"/>
      <c r="J20" s="249"/>
      <c r="K20" s="144"/>
    </row>
    <row r="21" spans="1:11" ht="15" customHeight="1" x14ac:dyDescent="0.2">
      <c r="A21" s="38">
        <v>19</v>
      </c>
      <c r="B21" s="73">
        <f t="shared" si="2"/>
        <v>1077.6620977777777</v>
      </c>
      <c r="C21" s="74">
        <f t="shared" si="0"/>
        <v>677.48571428571438</v>
      </c>
      <c r="D21" s="73">
        <f t="shared" si="1"/>
        <v>345.60623475733331</v>
      </c>
      <c r="F21" s="249"/>
      <c r="G21" s="249"/>
      <c r="H21" s="249"/>
      <c r="I21" s="249"/>
      <c r="J21" s="249"/>
      <c r="K21" s="144"/>
    </row>
    <row r="22" spans="1:11" ht="15" customHeight="1" thickBot="1" x14ac:dyDescent="0.25">
      <c r="A22" s="38">
        <v>18</v>
      </c>
      <c r="B22" s="73">
        <f t="shared" si="2"/>
        <v>1020.94304</v>
      </c>
      <c r="C22" s="74">
        <f t="shared" si="0"/>
        <v>641.82857142857154</v>
      </c>
      <c r="D22" s="73">
        <f t="shared" si="1"/>
        <v>327.41643292800001</v>
      </c>
      <c r="F22" s="35"/>
      <c r="G22" s="19"/>
      <c r="H22" s="8"/>
      <c r="I22" s="112"/>
      <c r="J22" s="8"/>
      <c r="K22" s="8"/>
    </row>
    <row r="23" spans="1:11" ht="15" customHeight="1" x14ac:dyDescent="0.2">
      <c r="A23" s="38">
        <v>17</v>
      </c>
      <c r="B23" s="73">
        <f t="shared" si="2"/>
        <v>964.22398222222228</v>
      </c>
      <c r="C23" s="74">
        <f t="shared" si="0"/>
        <v>606.17142857142846</v>
      </c>
      <c r="D23" s="73">
        <f t="shared" si="1"/>
        <v>309.22663109866664</v>
      </c>
      <c r="F23" s="218" t="s">
        <v>62</v>
      </c>
      <c r="G23" s="218"/>
      <c r="H23" s="219"/>
      <c r="I23" s="266"/>
      <c r="J23" s="8"/>
      <c r="K23" s="8"/>
    </row>
    <row r="24" spans="1:11" ht="15" customHeight="1" thickBot="1" x14ac:dyDescent="0.25">
      <c r="A24" s="38">
        <v>16</v>
      </c>
      <c r="B24" s="73">
        <f t="shared" si="2"/>
        <v>907.50492444444444</v>
      </c>
      <c r="C24" s="74">
        <f t="shared" si="0"/>
        <v>570.51428571428573</v>
      </c>
      <c r="D24" s="73">
        <f t="shared" si="1"/>
        <v>291.03682926933334</v>
      </c>
      <c r="F24" s="218"/>
      <c r="G24" s="218"/>
      <c r="H24" s="219"/>
      <c r="I24" s="267"/>
      <c r="J24" s="8"/>
      <c r="K24" s="8"/>
    </row>
    <row r="25" spans="1:11" ht="15" customHeight="1" thickBot="1" x14ac:dyDescent="0.25">
      <c r="A25" s="38">
        <v>15</v>
      </c>
      <c r="B25" s="73">
        <f t="shared" si="2"/>
        <v>850.78586666666672</v>
      </c>
      <c r="C25" s="74">
        <f t="shared" si="0"/>
        <v>534.85714285714278</v>
      </c>
      <c r="D25" s="73">
        <f t="shared" si="1"/>
        <v>272.84702743999998</v>
      </c>
      <c r="F25" s="35"/>
      <c r="G25" s="19"/>
      <c r="H25" s="8"/>
      <c r="I25" s="112"/>
      <c r="J25" s="8"/>
      <c r="K25" s="8"/>
    </row>
    <row r="26" spans="1:11" ht="15" customHeight="1" x14ac:dyDescent="0.2">
      <c r="A26" s="38">
        <v>14</v>
      </c>
      <c r="B26" s="73">
        <f t="shared" si="2"/>
        <v>794.06680888888889</v>
      </c>
      <c r="C26" s="74">
        <f t="shared" si="0"/>
        <v>499.20000000000016</v>
      </c>
      <c r="D26" s="73">
        <f t="shared" si="1"/>
        <v>254.65722561066664</v>
      </c>
      <c r="F26" s="218" t="s">
        <v>67</v>
      </c>
      <c r="G26" s="218"/>
      <c r="H26" s="219"/>
      <c r="I26" s="216"/>
      <c r="J26" s="8"/>
      <c r="K26" s="8"/>
    </row>
    <row r="27" spans="1:11" ht="15" customHeight="1" thickBot="1" x14ac:dyDescent="0.25">
      <c r="A27" s="38">
        <v>13</v>
      </c>
      <c r="B27" s="73">
        <f t="shared" si="2"/>
        <v>737.34775111111117</v>
      </c>
      <c r="C27" s="74">
        <f t="shared" si="0"/>
        <v>463.54285714285714</v>
      </c>
      <c r="D27" s="73">
        <f t="shared" si="1"/>
        <v>236.46742378133334</v>
      </c>
      <c r="F27" s="218"/>
      <c r="G27" s="218"/>
      <c r="H27" s="219"/>
      <c r="I27" s="217"/>
      <c r="J27" s="8"/>
      <c r="K27" s="8"/>
    </row>
    <row r="28" spans="1:11" ht="15" customHeight="1" thickBot="1" x14ac:dyDescent="0.25">
      <c r="A28" s="38">
        <v>12</v>
      </c>
      <c r="B28" s="73">
        <f t="shared" si="2"/>
        <v>680.62869333333333</v>
      </c>
      <c r="C28" s="74">
        <f t="shared" si="0"/>
        <v>427.88571428571424</v>
      </c>
      <c r="D28" s="73">
        <f t="shared" si="1"/>
        <v>218.27762195199998</v>
      </c>
      <c r="F28" s="35"/>
      <c r="G28" s="19"/>
      <c r="H28" s="8"/>
      <c r="I28" s="112"/>
      <c r="J28" s="8"/>
      <c r="K28" s="8"/>
    </row>
    <row r="29" spans="1:11" ht="15" customHeight="1" x14ac:dyDescent="0.2">
      <c r="A29" s="38">
        <v>11</v>
      </c>
      <c r="B29" s="73">
        <f t="shared" si="2"/>
        <v>623.90963555555561</v>
      </c>
      <c r="C29" s="74">
        <f t="shared" si="0"/>
        <v>392.2285714285714</v>
      </c>
      <c r="D29" s="73">
        <f t="shared" si="1"/>
        <v>200.08782012266667</v>
      </c>
      <c r="F29" s="220" t="s">
        <v>63</v>
      </c>
      <c r="G29" s="221"/>
      <c r="H29" s="221"/>
      <c r="I29" s="222"/>
      <c r="J29" s="8"/>
      <c r="K29" s="8"/>
    </row>
    <row r="30" spans="1:11" ht="15" customHeight="1" thickBot="1" x14ac:dyDescent="0.25">
      <c r="A30" s="38">
        <v>10</v>
      </c>
      <c r="B30" s="73">
        <f t="shared" si="2"/>
        <v>567.19057777777778</v>
      </c>
      <c r="C30" s="74">
        <f t="shared" si="0"/>
        <v>356.57142857142861</v>
      </c>
      <c r="D30" s="73">
        <f t="shared" si="1"/>
        <v>181.89801829333334</v>
      </c>
      <c r="F30" s="223"/>
      <c r="G30" s="224"/>
      <c r="H30" s="224"/>
      <c r="I30" s="225"/>
      <c r="J30" s="8"/>
      <c r="K30" s="8"/>
    </row>
    <row r="31" spans="1:11" ht="15" customHeight="1" thickBot="1" x14ac:dyDescent="0.25">
      <c r="A31" s="38">
        <v>9</v>
      </c>
      <c r="B31" s="73">
        <f t="shared" si="2"/>
        <v>510.47152</v>
      </c>
      <c r="C31" s="74">
        <f t="shared" si="0"/>
        <v>320.91428571428577</v>
      </c>
      <c r="D31" s="73">
        <f t="shared" si="1"/>
        <v>163.708216464</v>
      </c>
      <c r="F31" s="134" t="s">
        <v>68</v>
      </c>
      <c r="G31" s="132" t="s">
        <v>53</v>
      </c>
      <c r="H31" s="130" t="s">
        <v>69</v>
      </c>
      <c r="I31" s="116" t="s">
        <v>55</v>
      </c>
      <c r="J31" s="8"/>
      <c r="K31" s="8"/>
    </row>
    <row r="32" spans="1:11" ht="15" customHeight="1" x14ac:dyDescent="0.2">
      <c r="A32" s="38">
        <v>8</v>
      </c>
      <c r="B32" s="73">
        <f t="shared" si="2"/>
        <v>453.75246222222222</v>
      </c>
      <c r="C32" s="74">
        <f t="shared" si="0"/>
        <v>285.25714285714287</v>
      </c>
      <c r="D32" s="73">
        <f t="shared" si="1"/>
        <v>145.51841463466667</v>
      </c>
      <c r="F32" s="305">
        <f>((I23/37.5*7.5*5)/7)*30*$C$43</f>
        <v>0</v>
      </c>
      <c r="G32" s="261">
        <f>IF(I26&lt;F32,F32,I26)</f>
        <v>0</v>
      </c>
      <c r="H32" s="263">
        <v>32.07</v>
      </c>
      <c r="I32" s="252">
        <f>G32*H32%</f>
        <v>0</v>
      </c>
      <c r="J32" s="8"/>
      <c r="K32" s="8"/>
    </row>
    <row r="33" spans="1:11" ht="15" customHeight="1" thickBot="1" x14ac:dyDescent="0.25">
      <c r="A33" s="38">
        <v>7</v>
      </c>
      <c r="B33" s="73">
        <f t="shared" si="2"/>
        <v>397.03340444444444</v>
      </c>
      <c r="C33" s="74">
        <f t="shared" si="0"/>
        <v>249.60000000000008</v>
      </c>
      <c r="D33" s="73">
        <f t="shared" si="1"/>
        <v>127.32861280533332</v>
      </c>
      <c r="F33" s="260"/>
      <c r="G33" s="262"/>
      <c r="H33" s="264"/>
      <c r="I33" s="265"/>
      <c r="J33" s="8"/>
      <c r="K33" s="8"/>
    </row>
    <row r="34" spans="1:11" ht="15" customHeight="1" thickBot="1" x14ac:dyDescent="0.25">
      <c r="A34" s="38">
        <v>6</v>
      </c>
      <c r="B34" s="73">
        <f t="shared" si="2"/>
        <v>340.31434666666667</v>
      </c>
      <c r="C34" s="74">
        <f t="shared" si="0"/>
        <v>213.94285714285712</v>
      </c>
      <c r="D34" s="73">
        <f t="shared" si="1"/>
        <v>109.13881097599999</v>
      </c>
      <c r="F34" s="254" t="s">
        <v>64</v>
      </c>
      <c r="G34" s="255"/>
      <c r="H34" s="256"/>
      <c r="I34" s="127">
        <f>SUM(I32)</f>
        <v>0</v>
      </c>
      <c r="J34" s="8"/>
      <c r="K34" s="8"/>
    </row>
    <row r="35" spans="1:11" ht="15" customHeight="1" x14ac:dyDescent="0.2">
      <c r="A35" s="38">
        <v>5</v>
      </c>
      <c r="B35" s="73">
        <f t="shared" si="2"/>
        <v>283.59528888888889</v>
      </c>
      <c r="C35" s="74">
        <f t="shared" si="0"/>
        <v>178.28571428571431</v>
      </c>
      <c r="D35" s="73">
        <f t="shared" si="1"/>
        <v>90.949009146666668</v>
      </c>
      <c r="F35" s="35"/>
      <c r="G35" s="19"/>
      <c r="H35" s="8"/>
      <c r="I35" s="112"/>
      <c r="J35" s="8"/>
      <c r="K35" s="133"/>
    </row>
    <row r="36" spans="1:11" ht="15" customHeight="1" x14ac:dyDescent="0.2">
      <c r="A36" s="38">
        <v>4</v>
      </c>
      <c r="B36" s="73">
        <f t="shared" si="2"/>
        <v>226.87623111111111</v>
      </c>
      <c r="C36" s="74">
        <f t="shared" si="0"/>
        <v>142.62857142857143</v>
      </c>
      <c r="D36" s="73">
        <f t="shared" si="1"/>
        <v>72.759207317333335</v>
      </c>
      <c r="F36" s="279" t="s">
        <v>66</v>
      </c>
      <c r="G36" s="279"/>
      <c r="H36" s="279"/>
      <c r="I36" s="258" t="s">
        <v>98</v>
      </c>
      <c r="K36" s="133"/>
    </row>
    <row r="37" spans="1:11" ht="15" customHeight="1" x14ac:dyDescent="0.2">
      <c r="A37" s="38">
        <v>3</v>
      </c>
      <c r="B37" s="73">
        <f t="shared" si="2"/>
        <v>170.15717333333333</v>
      </c>
      <c r="C37" s="74">
        <f t="shared" si="0"/>
        <v>106.97142857142856</v>
      </c>
      <c r="D37" s="73">
        <f t="shared" si="1"/>
        <v>54.569405487999994</v>
      </c>
      <c r="F37" s="279"/>
      <c r="G37" s="279"/>
      <c r="H37" s="279"/>
      <c r="I37" s="258"/>
      <c r="K37" s="133"/>
    </row>
    <row r="38" spans="1:11" ht="15" customHeight="1" x14ac:dyDescent="0.2">
      <c r="A38" s="38">
        <v>2</v>
      </c>
      <c r="B38" s="73">
        <f t="shared" si="2"/>
        <v>113.43811555555556</v>
      </c>
      <c r="C38" s="74">
        <f t="shared" si="0"/>
        <v>71.314285714285717</v>
      </c>
      <c r="D38" s="73">
        <f t="shared" si="1"/>
        <v>36.379603658666667</v>
      </c>
    </row>
    <row r="39" spans="1:11" ht="15" customHeight="1" x14ac:dyDescent="0.2">
      <c r="A39" s="39">
        <v>1</v>
      </c>
      <c r="B39" s="75">
        <f t="shared" si="2"/>
        <v>56.719057777777778</v>
      </c>
      <c r="C39" s="76">
        <f t="shared" si="0"/>
        <v>35.657142857142858</v>
      </c>
      <c r="D39" s="75">
        <f t="shared" si="1"/>
        <v>18.189801829333334</v>
      </c>
    </row>
    <row r="40" spans="1:11" hidden="1" x14ac:dyDescent="0.2"/>
    <row r="41" spans="1:11" hidden="1" x14ac:dyDescent="0.2">
      <c r="C41" s="209" t="s">
        <v>94</v>
      </c>
    </row>
    <row r="42" spans="1:11" ht="13.5" hidden="1" thickBot="1" x14ac:dyDescent="0.25"/>
    <row r="43" spans="1:11" ht="36" hidden="1" customHeight="1" thickBot="1" x14ac:dyDescent="0.25">
      <c r="B43" s="205" t="s">
        <v>16</v>
      </c>
      <c r="C43" s="206">
        <v>8.32</v>
      </c>
    </row>
    <row r="44" spans="1:11" hidden="1" x14ac:dyDescent="0.2"/>
  </sheetData>
  <sheetProtection algorithmName="SHA-512" hashValue="rNUp+DcSu7Ay94+GjTLArm/fEprSm5vSnrBTProotOuxZUmDrxYi6K3oUl7NHtDeuPfvcz4Ps/M0Kpr8f6tt1w==" saltValue="MlU8LyoByg0m1R+mmILpKA==" spinCount="100000" sheet="1" objects="1" scenarios="1"/>
  <protectedRanges>
    <protectedRange sqref="I36" name="CALCULO RC"/>
    <protectedRange sqref="I8" name="RET TP_1"/>
    <protectedRange sqref="I23" name="DED_1"/>
    <protectedRange sqref="I26" name="RET TP_2"/>
  </protectedRanges>
  <mergeCells count="34">
    <mergeCell ref="A1:D1"/>
    <mergeCell ref="F2:H2"/>
    <mergeCell ref="I2:J2"/>
    <mergeCell ref="F4:F5"/>
    <mergeCell ref="G4:G5"/>
    <mergeCell ref="H4:H5"/>
    <mergeCell ref="I4:I5"/>
    <mergeCell ref="J4:J5"/>
    <mergeCell ref="F1:J1"/>
    <mergeCell ref="I16:I17"/>
    <mergeCell ref="F18:G18"/>
    <mergeCell ref="F8:H9"/>
    <mergeCell ref="I8:I9"/>
    <mergeCell ref="F11:I12"/>
    <mergeCell ref="F14:F15"/>
    <mergeCell ref="G14:G15"/>
    <mergeCell ref="H14:H15"/>
    <mergeCell ref="I14:I15"/>
    <mergeCell ref="I36:I37"/>
    <mergeCell ref="H16:H17"/>
    <mergeCell ref="F36:H37"/>
    <mergeCell ref="F20:J21"/>
    <mergeCell ref="F32:F33"/>
    <mergeCell ref="G32:G33"/>
    <mergeCell ref="H32:H33"/>
    <mergeCell ref="I32:I33"/>
    <mergeCell ref="F34:H34"/>
    <mergeCell ref="F23:H24"/>
    <mergeCell ref="I23:I24"/>
    <mergeCell ref="F26:H27"/>
    <mergeCell ref="I26:I27"/>
    <mergeCell ref="F29:I30"/>
    <mergeCell ref="F16:F17"/>
    <mergeCell ref="G16:G17"/>
  </mergeCells>
  <phoneticPr fontId="0" type="noConversion"/>
  <hyperlinks>
    <hyperlink ref="I36:I37" r:id="rId1" display="CALCULO RC E INDEMNIZACION" xr:uid="{00000000-0004-0000-0700-000000000000}"/>
  </hyperlinks>
  <printOptions horizontalCentered="1"/>
  <pageMargins left="1.71875" right="0.94488188976377963" top="0" bottom="0.39370078740157483" header="0" footer="0"/>
  <pageSetup paperSize="9" orientation="landscape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published="0"/>
  <dimension ref="A1:K66"/>
  <sheetViews>
    <sheetView topLeftCell="A35" zoomScale="106" zoomScaleNormal="106" workbookViewId="0">
      <selection activeCell="D65" sqref="D65"/>
    </sheetView>
  </sheetViews>
  <sheetFormatPr baseColWidth="10" defaultColWidth="11.42578125" defaultRowHeight="12.75" x14ac:dyDescent="0.2"/>
  <cols>
    <col min="1" max="1" width="35.5703125" style="8" customWidth="1"/>
    <col min="2" max="3" width="18.28515625" style="99" customWidth="1"/>
    <col min="4" max="4" width="23.5703125" style="8" bestFit="1" customWidth="1"/>
    <col min="5" max="5" width="39.5703125" style="8" customWidth="1"/>
    <col min="6" max="6" width="11.42578125" style="8"/>
    <col min="7" max="7" width="32" style="8" bestFit="1" customWidth="1"/>
    <col min="8" max="8" width="14.42578125" style="94" bestFit="1" customWidth="1"/>
    <col min="9" max="9" width="11.42578125" style="8"/>
    <col min="10" max="11" width="20.7109375" style="8" bestFit="1" customWidth="1"/>
    <col min="12" max="16384" width="11.42578125" style="8"/>
  </cols>
  <sheetData>
    <row r="1" spans="1:8" s="21" customFormat="1" ht="26.25" thickBot="1" x14ac:dyDescent="0.25">
      <c r="A1" s="26" t="s">
        <v>0</v>
      </c>
      <c r="B1" s="87" t="s">
        <v>11</v>
      </c>
      <c r="C1" s="87" t="s">
        <v>9</v>
      </c>
      <c r="H1" s="89"/>
    </row>
    <row r="2" spans="1:8" ht="16.5" customHeight="1" x14ac:dyDescent="0.2">
      <c r="A2" s="11" t="s">
        <v>32</v>
      </c>
      <c r="B2" s="96">
        <f>B16</f>
        <v>2813.5430978715499</v>
      </c>
      <c r="C2" s="96">
        <f>C16</f>
        <v>3657.6052484366</v>
      </c>
      <c r="D2" s="9"/>
      <c r="E2" s="9"/>
      <c r="G2" s="10"/>
      <c r="H2" s="90"/>
    </row>
    <row r="3" spans="1:8" ht="16.5" customHeight="1" x14ac:dyDescent="0.2">
      <c r="A3" s="11" t="s">
        <v>31</v>
      </c>
      <c r="B3" s="96">
        <f>B23</f>
        <v>2311.1250892974003</v>
      </c>
      <c r="C3" s="96">
        <f>C23</f>
        <v>3004.4615776913997</v>
      </c>
      <c r="D3" s="9"/>
      <c r="E3" s="9"/>
      <c r="G3" s="10"/>
      <c r="H3" s="90"/>
    </row>
    <row r="4" spans="1:8" ht="16.5" customHeight="1" x14ac:dyDescent="0.2">
      <c r="A4" s="11" t="s">
        <v>30</v>
      </c>
      <c r="B4" s="96">
        <f>B30</f>
        <v>0</v>
      </c>
      <c r="C4" s="96">
        <f>C30</f>
        <v>0</v>
      </c>
      <c r="D4" s="16"/>
      <c r="E4" s="16"/>
      <c r="F4" s="34"/>
    </row>
    <row r="5" spans="1:8" ht="16.5" customHeight="1" x14ac:dyDescent="0.2">
      <c r="A5" s="11" t="s">
        <v>38</v>
      </c>
      <c r="B5" s="96">
        <f>B37</f>
        <v>1708.2224406132002</v>
      </c>
      <c r="C5" s="96">
        <f>C37</f>
        <v>2220.6895189289003</v>
      </c>
      <c r="D5" s="34"/>
      <c r="E5" s="34"/>
      <c r="F5" s="129"/>
    </row>
    <row r="6" spans="1:8" ht="16.5" customHeight="1" x14ac:dyDescent="0.2">
      <c r="A6" s="11" t="s">
        <v>39</v>
      </c>
      <c r="B6" s="96">
        <f>B44</f>
        <v>1607.7386658324999</v>
      </c>
      <c r="C6" s="96">
        <f>C44</f>
        <v>2090.0594002529001</v>
      </c>
      <c r="E6" s="34"/>
      <c r="F6" s="129"/>
    </row>
    <row r="7" spans="1:8" ht="18" customHeight="1" x14ac:dyDescent="0.2">
      <c r="A7" s="11" t="s">
        <v>40</v>
      </c>
      <c r="B7" s="96">
        <f>B51</f>
        <v>1507.2548910518001</v>
      </c>
      <c r="C7" s="96">
        <f>C51</f>
        <v>1959.4318775649499</v>
      </c>
      <c r="E7" s="34"/>
      <c r="F7" s="129"/>
    </row>
    <row r="8" spans="1:8" ht="18.75" customHeight="1" x14ac:dyDescent="0.2">
      <c r="A8" s="11" t="s">
        <v>37</v>
      </c>
      <c r="B8" s="96">
        <f>F33</f>
        <v>2476.6299999999997</v>
      </c>
      <c r="C8" s="96"/>
      <c r="E8" s="34"/>
      <c r="F8" s="129"/>
    </row>
    <row r="9" spans="1:8" ht="19.5" customHeight="1" thickBot="1" x14ac:dyDescent="0.25">
      <c r="A9" s="22" t="s">
        <v>34</v>
      </c>
      <c r="B9" s="97">
        <f>F21</f>
        <v>2126.9646666666667</v>
      </c>
      <c r="C9" s="97"/>
      <c r="E9" s="34"/>
      <c r="F9" s="34"/>
    </row>
    <row r="10" spans="1:8" x14ac:dyDescent="0.2">
      <c r="A10" s="23"/>
      <c r="B10" s="98"/>
      <c r="C10" s="98"/>
      <c r="E10" s="34"/>
      <c r="F10" s="34"/>
    </row>
    <row r="11" spans="1:8" x14ac:dyDescent="0.2">
      <c r="E11" s="16"/>
      <c r="F11" s="16"/>
    </row>
    <row r="12" spans="1:8" ht="13.5" thickBot="1" x14ac:dyDescent="0.25">
      <c r="A12" s="14"/>
      <c r="D12" s="14"/>
      <c r="E12" s="17"/>
      <c r="F12" s="17"/>
    </row>
    <row r="13" spans="1:8" ht="26.25" thickBot="1" x14ac:dyDescent="0.25">
      <c r="A13" s="140" t="s">
        <v>32</v>
      </c>
      <c r="B13" s="141" t="s">
        <v>8</v>
      </c>
      <c r="C13" s="142" t="s">
        <v>10</v>
      </c>
      <c r="D13" s="14"/>
      <c r="E13" s="314" t="s">
        <v>28</v>
      </c>
      <c r="F13" s="315"/>
    </row>
    <row r="14" spans="1:8" ht="16.5" customHeight="1" thickTop="1" x14ac:dyDescent="0.25">
      <c r="A14" s="24" t="s">
        <v>12</v>
      </c>
      <c r="B14" s="100">
        <f>(D58)/12</f>
        <v>2722.7836431014998</v>
      </c>
      <c r="C14" s="101">
        <f>(E58)/12</f>
        <v>3539.6179823580001</v>
      </c>
      <c r="D14" s="14"/>
      <c r="E14" s="32" t="s">
        <v>101</v>
      </c>
      <c r="F14" s="212">
        <v>720.49</v>
      </c>
    </row>
    <row r="15" spans="1:8" ht="16.5" customHeight="1" x14ac:dyDescent="0.25">
      <c r="A15" s="24" t="s">
        <v>2</v>
      </c>
      <c r="B15" s="100">
        <f>B14/30*12/12</f>
        <v>90.759454770049999</v>
      </c>
      <c r="C15" s="101">
        <f>C14/30*12/12</f>
        <v>117.9872660786</v>
      </c>
      <c r="D15" s="14"/>
      <c r="E15" s="32" t="s">
        <v>5</v>
      </c>
      <c r="F15" s="213">
        <v>366.75</v>
      </c>
    </row>
    <row r="16" spans="1:8" ht="16.5" customHeight="1" x14ac:dyDescent="0.25">
      <c r="A16" s="25" t="s">
        <v>29</v>
      </c>
      <c r="B16" s="102">
        <f>SUM(B14:B15)</f>
        <v>2813.5430978715499</v>
      </c>
      <c r="C16" s="103">
        <f>SUM(C14:C15)</f>
        <v>3657.6052484366</v>
      </c>
      <c r="D16" s="14"/>
      <c r="E16" s="32" t="s">
        <v>6</v>
      </c>
      <c r="F16" s="213">
        <v>675.5</v>
      </c>
    </row>
    <row r="17" spans="1:8" ht="16.5" customHeight="1" x14ac:dyDescent="0.2">
      <c r="A17" s="14"/>
      <c r="B17" s="99">
        <f>B16*12</f>
        <v>33762.517174458597</v>
      </c>
      <c r="C17" s="99">
        <f>C16*12</f>
        <v>43891.262981239197</v>
      </c>
      <c r="D17" s="14"/>
      <c r="E17" s="32" t="s">
        <v>2</v>
      </c>
      <c r="F17" s="91">
        <f>SUM(F14:F16)/30*12/12</f>
        <v>58.758000000000003</v>
      </c>
      <c r="G17" s="8" t="s">
        <v>17</v>
      </c>
    </row>
    <row r="18" spans="1:8" ht="15" x14ac:dyDescent="0.25">
      <c r="A18" s="14"/>
      <c r="D18" s="14"/>
      <c r="E18" s="32" t="s">
        <v>102</v>
      </c>
      <c r="F18" s="215">
        <v>76.63</v>
      </c>
    </row>
    <row r="19" spans="1:8" x14ac:dyDescent="0.2">
      <c r="A19" s="14"/>
      <c r="D19" s="14"/>
      <c r="E19" s="32"/>
      <c r="F19" s="92"/>
    </row>
    <row r="20" spans="1:8" ht="26.25" thickBot="1" x14ac:dyDescent="0.25">
      <c r="A20" s="140" t="s">
        <v>31</v>
      </c>
      <c r="B20" s="141" t="s">
        <v>8</v>
      </c>
      <c r="C20" s="142" t="s">
        <v>10</v>
      </c>
      <c r="D20" s="14"/>
      <c r="E20" s="32" t="s">
        <v>1</v>
      </c>
      <c r="F20" s="91">
        <f>(713.92+F15+F16)/6</f>
        <v>292.69499999999999</v>
      </c>
    </row>
    <row r="21" spans="1:8" ht="16.5" customHeight="1" thickTop="1" thickBot="1" x14ac:dyDescent="0.25">
      <c r="A21" s="24" t="s">
        <v>12</v>
      </c>
      <c r="B21" s="100">
        <f>(D59)/12</f>
        <v>2236.5726670620002</v>
      </c>
      <c r="C21" s="101">
        <f>(E59)/12</f>
        <v>2907.5434622819998</v>
      </c>
      <c r="D21" s="14"/>
      <c r="E21" s="15" t="s">
        <v>35</v>
      </c>
      <c r="F21" s="93">
        <f>SUM(F14:F17)+(F18/6)+F20</f>
        <v>2126.9646666666667</v>
      </c>
      <c r="G21" s="17"/>
      <c r="H21" s="95"/>
    </row>
    <row r="22" spans="1:8" ht="16.5" customHeight="1" x14ac:dyDescent="0.2">
      <c r="A22" s="24" t="s">
        <v>2</v>
      </c>
      <c r="B22" s="100">
        <f>B21/30*12/12</f>
        <v>74.552422235400002</v>
      </c>
      <c r="C22" s="101">
        <f>C21/30*12/12</f>
        <v>96.918115409399988</v>
      </c>
      <c r="D22" s="14"/>
      <c r="F22" s="94">
        <f>F21*12</f>
        <v>25523.576000000001</v>
      </c>
    </row>
    <row r="23" spans="1:8" ht="16.5" customHeight="1" x14ac:dyDescent="0.2">
      <c r="A23" s="25" t="s">
        <v>29</v>
      </c>
      <c r="B23" s="102">
        <f>SUM(B21:B22)</f>
        <v>2311.1250892974003</v>
      </c>
      <c r="C23" s="103">
        <f>SUM(C21:C22)</f>
        <v>3004.4615776913997</v>
      </c>
      <c r="D23" s="14"/>
      <c r="F23" s="94"/>
    </row>
    <row r="24" spans="1:8" ht="13.5" thickBot="1" x14ac:dyDescent="0.25">
      <c r="A24" s="14"/>
      <c r="B24" s="99">
        <f>B23*12</f>
        <v>27733.501071568804</v>
      </c>
      <c r="C24" s="99">
        <f>C23*12</f>
        <v>36053.538932296797</v>
      </c>
      <c r="D24" s="14"/>
      <c r="F24" s="94"/>
    </row>
    <row r="25" spans="1:8" ht="19.5" customHeight="1" thickBot="1" x14ac:dyDescent="0.25">
      <c r="A25" s="14"/>
      <c r="D25" s="14"/>
      <c r="E25" s="314" t="s">
        <v>27</v>
      </c>
      <c r="F25" s="315"/>
    </row>
    <row r="26" spans="1:8" ht="15" x14ac:dyDescent="0.25">
      <c r="B26" s="104"/>
      <c r="C26" s="104"/>
      <c r="D26" s="18"/>
      <c r="E26" s="32" t="s">
        <v>103</v>
      </c>
      <c r="F26" s="211">
        <v>865.68</v>
      </c>
    </row>
    <row r="27" spans="1:8" ht="29.25" thickBot="1" x14ac:dyDescent="0.3">
      <c r="A27" s="143" t="s">
        <v>30</v>
      </c>
      <c r="B27" s="141" t="s">
        <v>8</v>
      </c>
      <c r="C27" s="142" t="s">
        <v>10</v>
      </c>
      <c r="D27" s="13"/>
      <c r="E27" s="32" t="s">
        <v>3</v>
      </c>
      <c r="F27" s="213">
        <v>474.69</v>
      </c>
    </row>
    <row r="28" spans="1:8" ht="16.5" customHeight="1" thickTop="1" x14ac:dyDescent="0.25">
      <c r="A28" s="24" t="s">
        <v>12</v>
      </c>
      <c r="B28" s="100">
        <f>(D60)/12</f>
        <v>0</v>
      </c>
      <c r="C28" s="101">
        <f>(E60)/12</f>
        <v>0</v>
      </c>
      <c r="D28" s="13"/>
      <c r="E28" s="32" t="s">
        <v>4</v>
      </c>
      <c r="F28" s="213">
        <v>726.03</v>
      </c>
    </row>
    <row r="29" spans="1:8" ht="16.5" customHeight="1" x14ac:dyDescent="0.2">
      <c r="A29" s="24" t="s">
        <v>2</v>
      </c>
      <c r="B29" s="100">
        <v>0</v>
      </c>
      <c r="C29" s="101">
        <v>0</v>
      </c>
      <c r="D29" s="13"/>
      <c r="E29" s="32" t="s">
        <v>2</v>
      </c>
      <c r="F29" s="91">
        <f>SUM(F26:F28)/30*12/12</f>
        <v>68.879999999999981</v>
      </c>
      <c r="G29" s="8" t="s">
        <v>17</v>
      </c>
    </row>
    <row r="30" spans="1:8" ht="16.5" customHeight="1" x14ac:dyDescent="0.25">
      <c r="A30" s="25" t="s">
        <v>29</v>
      </c>
      <c r="B30" s="102">
        <f>SUM(B28:B29)</f>
        <v>0</v>
      </c>
      <c r="C30" s="103">
        <f>SUM(C28:C29)</f>
        <v>0</v>
      </c>
      <c r="D30" s="13"/>
      <c r="E30" s="32" t="s">
        <v>104</v>
      </c>
      <c r="F30" s="213">
        <v>99.17</v>
      </c>
    </row>
    <row r="31" spans="1:8" x14ac:dyDescent="0.2">
      <c r="A31" s="17"/>
      <c r="B31" s="105"/>
      <c r="C31" s="105"/>
      <c r="D31" s="13"/>
      <c r="E31" s="32"/>
      <c r="F31" s="92"/>
    </row>
    <row r="32" spans="1:8" x14ac:dyDescent="0.2">
      <c r="A32" s="17"/>
      <c r="B32" s="105"/>
      <c r="C32" s="105"/>
      <c r="D32" s="13"/>
      <c r="E32" s="32" t="s">
        <v>1</v>
      </c>
      <c r="F32" s="91">
        <f>(748.21+F27+F28)/6</f>
        <v>324.82166666666666</v>
      </c>
    </row>
    <row r="33" spans="1:6" ht="13.5" thickBot="1" x14ac:dyDescent="0.25">
      <c r="E33" s="15" t="s">
        <v>36</v>
      </c>
      <c r="F33" s="93">
        <f>SUM(F26:F29)+(F30/6)+F32</f>
        <v>2476.6299999999997</v>
      </c>
    </row>
    <row r="34" spans="1:6" ht="26.25" thickBot="1" x14ac:dyDescent="0.25">
      <c r="A34" s="140" t="s">
        <v>38</v>
      </c>
      <c r="B34" s="141" t="s">
        <v>8</v>
      </c>
      <c r="C34" s="142" t="s">
        <v>10</v>
      </c>
      <c r="D34" s="13"/>
      <c r="F34" s="8">
        <f>F33*12</f>
        <v>29719.559999999998</v>
      </c>
    </row>
    <row r="35" spans="1:6" ht="16.5" customHeight="1" thickTop="1" x14ac:dyDescent="0.2">
      <c r="A35" s="24" t="s">
        <v>12</v>
      </c>
      <c r="B35" s="100">
        <f>(D62)/12</f>
        <v>1653.1184909160002</v>
      </c>
      <c r="C35" s="101">
        <f>(E62)/12</f>
        <v>2149.0543731570001</v>
      </c>
      <c r="D35" s="13"/>
    </row>
    <row r="36" spans="1:6" ht="16.5" customHeight="1" x14ac:dyDescent="0.2">
      <c r="A36" s="24" t="s">
        <v>2</v>
      </c>
      <c r="B36" s="100">
        <f>B35/30*12/12</f>
        <v>55.103949697200015</v>
      </c>
      <c r="C36" s="101">
        <f>C35/30*12/12</f>
        <v>71.6351457719</v>
      </c>
      <c r="D36" s="13"/>
    </row>
    <row r="37" spans="1:6" ht="16.5" customHeight="1" x14ac:dyDescent="0.2">
      <c r="A37" s="25" t="s">
        <v>29</v>
      </c>
      <c r="B37" s="102">
        <f>SUM(B35:B36)</f>
        <v>1708.2224406132002</v>
      </c>
      <c r="C37" s="103">
        <f>SUM(C35:C36)</f>
        <v>2220.6895189289003</v>
      </c>
      <c r="D37" s="13"/>
    </row>
    <row r="38" spans="1:6" x14ac:dyDescent="0.2">
      <c r="A38" s="17"/>
      <c r="B38" s="105">
        <f>B37*12</f>
        <v>20498.669287358403</v>
      </c>
      <c r="C38" s="105">
        <f>C37*12</f>
        <v>26648.274227146801</v>
      </c>
      <c r="D38" s="13"/>
    </row>
    <row r="39" spans="1:6" x14ac:dyDescent="0.2">
      <c r="A39" s="17"/>
      <c r="B39" s="105"/>
      <c r="C39" s="105"/>
      <c r="D39" s="13"/>
    </row>
    <row r="40" spans="1:6" x14ac:dyDescent="0.2">
      <c r="B40" s="104"/>
      <c r="C40" s="104"/>
      <c r="D40" s="13"/>
    </row>
    <row r="41" spans="1:6" ht="26.25" thickBot="1" x14ac:dyDescent="0.25">
      <c r="A41" s="140" t="s">
        <v>39</v>
      </c>
      <c r="B41" s="141" t="s">
        <v>8</v>
      </c>
      <c r="C41" s="142" t="s">
        <v>10</v>
      </c>
      <c r="D41" s="13"/>
    </row>
    <row r="42" spans="1:6" ht="16.5" customHeight="1" thickTop="1" x14ac:dyDescent="0.2">
      <c r="A42" s="24" t="s">
        <v>12</v>
      </c>
      <c r="B42" s="100">
        <f>(D63)/12</f>
        <v>1555.876128225</v>
      </c>
      <c r="C42" s="101">
        <f>(E63)/12</f>
        <v>2022.638129277</v>
      </c>
      <c r="D42" s="13"/>
    </row>
    <row r="43" spans="1:6" ht="16.5" customHeight="1" x14ac:dyDescent="0.2">
      <c r="A43" s="24" t="s">
        <v>7</v>
      </c>
      <c r="B43" s="100">
        <f>B42/30*12/12</f>
        <v>51.862537607500002</v>
      </c>
      <c r="C43" s="101">
        <f>C42/30*12/12</f>
        <v>67.421270975900001</v>
      </c>
      <c r="D43" s="13"/>
    </row>
    <row r="44" spans="1:6" ht="16.5" customHeight="1" x14ac:dyDescent="0.2">
      <c r="A44" s="25" t="s">
        <v>29</v>
      </c>
      <c r="B44" s="102">
        <f>SUM(B42:B43)</f>
        <v>1607.7386658324999</v>
      </c>
      <c r="C44" s="103">
        <f>SUM(C42:C43)</f>
        <v>2090.0594002529001</v>
      </c>
      <c r="D44" s="13"/>
    </row>
    <row r="45" spans="1:6" x14ac:dyDescent="0.2">
      <c r="A45" s="17"/>
      <c r="B45" s="105">
        <f>B44*12</f>
        <v>19292.863989990001</v>
      </c>
      <c r="C45" s="105">
        <f>C44*12</f>
        <v>25080.712803034803</v>
      </c>
      <c r="D45" s="13"/>
    </row>
    <row r="46" spans="1:6" x14ac:dyDescent="0.2">
      <c r="A46" s="17"/>
      <c r="B46" s="105"/>
      <c r="C46" s="105"/>
      <c r="D46" s="13"/>
    </row>
    <row r="47" spans="1:6" x14ac:dyDescent="0.2">
      <c r="A47" s="12"/>
      <c r="B47" s="88"/>
      <c r="C47" s="88"/>
      <c r="D47" s="13"/>
    </row>
    <row r="48" spans="1:6" ht="26.25" thickBot="1" x14ac:dyDescent="0.25">
      <c r="A48" s="140" t="s">
        <v>96</v>
      </c>
      <c r="B48" s="141" t="s">
        <v>8</v>
      </c>
      <c r="C48" s="142" t="s">
        <v>10</v>
      </c>
      <c r="D48" s="13"/>
    </row>
    <row r="49" spans="1:11" ht="16.5" customHeight="1" thickTop="1" x14ac:dyDescent="0.2">
      <c r="A49" s="24" t="s">
        <v>12</v>
      </c>
      <c r="B49" s="100">
        <f>(D64)/12</f>
        <v>1458.6337655340001</v>
      </c>
      <c r="C49" s="101">
        <f>(E64)/12</f>
        <v>1896.2243976435</v>
      </c>
    </row>
    <row r="50" spans="1:11" ht="16.5" customHeight="1" x14ac:dyDescent="0.2">
      <c r="A50" s="24" t="s">
        <v>2</v>
      </c>
      <c r="B50" s="100">
        <f>B49/30*12/12</f>
        <v>48.621125517800003</v>
      </c>
      <c r="C50" s="101">
        <f>C49/30*12/12</f>
        <v>63.207479921450009</v>
      </c>
      <c r="D50" s="19"/>
    </row>
    <row r="51" spans="1:11" ht="16.5" customHeight="1" x14ac:dyDescent="0.2">
      <c r="A51" s="25" t="s">
        <v>29</v>
      </c>
      <c r="B51" s="102">
        <f>SUM(B49:B50)</f>
        <v>1507.2548910518001</v>
      </c>
      <c r="C51" s="103">
        <f>SUM(C49:C50)</f>
        <v>1959.4318775649499</v>
      </c>
      <c r="D51" s="20"/>
    </row>
    <row r="52" spans="1:11" x14ac:dyDescent="0.2">
      <c r="B52" s="99">
        <f>B51*12</f>
        <v>18087.058692621602</v>
      </c>
      <c r="C52" s="99">
        <f>C51*12</f>
        <v>23513.182530779399</v>
      </c>
      <c r="D52" s="18"/>
    </row>
    <row r="54" spans="1:11" ht="13.5" thickBot="1" x14ac:dyDescent="0.25"/>
    <row r="55" spans="1:11" ht="12.75" customHeight="1" x14ac:dyDescent="0.2">
      <c r="A55" s="316" t="s">
        <v>114</v>
      </c>
      <c r="B55" s="316"/>
      <c r="C55" s="318"/>
      <c r="D55" s="28" t="s">
        <v>18</v>
      </c>
      <c r="E55" s="28" t="s">
        <v>18</v>
      </c>
      <c r="G55" s="316" t="s">
        <v>115</v>
      </c>
      <c r="H55" s="316"/>
      <c r="I55" s="329"/>
      <c r="J55" s="110" t="s">
        <v>18</v>
      </c>
      <c r="K55" s="110" t="s">
        <v>18</v>
      </c>
    </row>
    <row r="56" spans="1:11" ht="28.9" customHeight="1" thickBot="1" x14ac:dyDescent="0.25">
      <c r="A56" s="317"/>
      <c r="B56" s="317"/>
      <c r="C56" s="319"/>
      <c r="D56" s="29" t="s">
        <v>19</v>
      </c>
      <c r="E56" s="29" t="s">
        <v>20</v>
      </c>
      <c r="G56" s="317"/>
      <c r="H56" s="317"/>
      <c r="I56" s="330"/>
      <c r="J56" s="111" t="s">
        <v>19</v>
      </c>
      <c r="K56" s="111" t="s">
        <v>20</v>
      </c>
    </row>
    <row r="57" spans="1:11" ht="15" thickBot="1" x14ac:dyDescent="0.25">
      <c r="A57" s="320" t="s">
        <v>21</v>
      </c>
      <c r="B57" s="321"/>
      <c r="C57" s="321"/>
      <c r="D57" s="321"/>
      <c r="E57" s="322"/>
      <c r="G57" s="331" t="s">
        <v>21</v>
      </c>
      <c r="H57" s="332"/>
      <c r="I57" s="332"/>
      <c r="J57" s="332"/>
      <c r="K57" s="333"/>
    </row>
    <row r="58" spans="1:11" ht="18" customHeight="1" x14ac:dyDescent="0.2">
      <c r="A58" s="313"/>
      <c r="B58" s="311" t="s">
        <v>41</v>
      </c>
      <c r="C58" s="312"/>
      <c r="D58" s="107">
        <f>0.48986%*J58+J58</f>
        <v>32673.403717218</v>
      </c>
      <c r="E58" s="107">
        <f>0.48986%*K58+K58</f>
        <v>42475.415788295999</v>
      </c>
      <c r="G58" s="334"/>
      <c r="H58" s="311" t="s">
        <v>41</v>
      </c>
      <c r="I58" s="312"/>
      <c r="J58" s="107">
        <v>32514.13</v>
      </c>
      <c r="K58" s="107">
        <v>42268.36</v>
      </c>
    </row>
    <row r="59" spans="1:11" ht="18" customHeight="1" x14ac:dyDescent="0.2">
      <c r="A59" s="313"/>
      <c r="B59" s="311" t="s">
        <v>42</v>
      </c>
      <c r="C59" s="312"/>
      <c r="D59" s="107">
        <f>0.48986%*J59+J59</f>
        <v>26838.872004744</v>
      </c>
      <c r="E59" s="107">
        <f>0.48986%*K59+K59</f>
        <v>34890.521547384</v>
      </c>
      <c r="G59" s="334"/>
      <c r="H59" s="311" t="s">
        <v>42</v>
      </c>
      <c r="I59" s="312"/>
      <c r="J59" s="107">
        <v>26708.04</v>
      </c>
      <c r="K59" s="107">
        <v>34720.44</v>
      </c>
    </row>
    <row r="60" spans="1:11" ht="18" customHeight="1" thickBot="1" x14ac:dyDescent="0.25">
      <c r="A60" s="313"/>
      <c r="B60" s="311" t="s">
        <v>22</v>
      </c>
      <c r="C60" s="312"/>
      <c r="D60" s="135"/>
      <c r="E60" s="107"/>
      <c r="G60" s="334"/>
      <c r="H60" s="311" t="s">
        <v>22</v>
      </c>
      <c r="I60" s="312"/>
      <c r="J60" s="107"/>
      <c r="K60" s="107"/>
    </row>
    <row r="61" spans="1:11" ht="15" thickBot="1" x14ac:dyDescent="0.25">
      <c r="A61" s="320" t="s">
        <v>23</v>
      </c>
      <c r="B61" s="321"/>
      <c r="C61" s="321"/>
      <c r="D61" s="323"/>
      <c r="E61" s="322"/>
      <c r="G61" s="331" t="s">
        <v>23</v>
      </c>
      <c r="H61" s="332"/>
      <c r="I61" s="332"/>
      <c r="J61" s="332"/>
      <c r="K61" s="333"/>
    </row>
    <row r="62" spans="1:11" ht="18" customHeight="1" thickBot="1" x14ac:dyDescent="0.25">
      <c r="A62" s="313"/>
      <c r="B62" s="325" t="s">
        <v>24</v>
      </c>
      <c r="C62" s="325"/>
      <c r="D62" s="108">
        <f t="shared" ref="D62:E64" si="0">0.48986%*J62+J62</f>
        <v>19837.421890992002</v>
      </c>
      <c r="E62" s="108">
        <f t="shared" si="0"/>
        <v>25788.652477883999</v>
      </c>
      <c r="G62" s="334"/>
      <c r="H62" s="325" t="s">
        <v>24</v>
      </c>
      <c r="I62" s="325"/>
      <c r="J62" s="108">
        <v>19740.72</v>
      </c>
      <c r="K62" s="108">
        <v>25662.94</v>
      </c>
    </row>
    <row r="63" spans="1:11" ht="18" customHeight="1" thickBot="1" x14ac:dyDescent="0.25">
      <c r="A63" s="313"/>
      <c r="B63" s="326" t="s">
        <v>25</v>
      </c>
      <c r="C63" s="326"/>
      <c r="D63" s="109">
        <f t="shared" si="0"/>
        <v>18670.513538700001</v>
      </c>
      <c r="E63" s="108">
        <f t="shared" si="0"/>
        <v>24271.657551323999</v>
      </c>
      <c r="G63" s="334"/>
      <c r="H63" s="326" t="s">
        <v>25</v>
      </c>
      <c r="I63" s="326"/>
      <c r="J63" s="210">
        <v>18579.5</v>
      </c>
      <c r="K63" s="210">
        <v>24153.34</v>
      </c>
    </row>
    <row r="64" spans="1:11" ht="18" customHeight="1" x14ac:dyDescent="0.2">
      <c r="A64" s="313"/>
      <c r="B64" s="327" t="s">
        <v>26</v>
      </c>
      <c r="C64" s="327"/>
      <c r="D64" s="109">
        <f t="shared" si="0"/>
        <v>17503.605186408</v>
      </c>
      <c r="E64" s="108">
        <f t="shared" si="0"/>
        <v>22754.692771721999</v>
      </c>
      <c r="G64" s="334"/>
      <c r="H64" s="327" t="s">
        <v>26</v>
      </c>
      <c r="I64" s="327"/>
      <c r="J64" s="109">
        <v>17418.28</v>
      </c>
      <c r="K64" s="109">
        <v>22643.77</v>
      </c>
    </row>
    <row r="65" spans="1:11" ht="18" customHeight="1" x14ac:dyDescent="0.2">
      <c r="A65" s="313"/>
      <c r="B65" s="327" t="s">
        <v>27</v>
      </c>
      <c r="C65" s="327"/>
      <c r="D65" s="30"/>
      <c r="E65" s="30"/>
      <c r="G65" s="334"/>
      <c r="H65" s="327" t="s">
        <v>27</v>
      </c>
      <c r="I65" s="327"/>
      <c r="J65" s="30"/>
      <c r="K65" s="30"/>
    </row>
    <row r="66" spans="1:11" ht="18" customHeight="1" thickBot="1" x14ac:dyDescent="0.25">
      <c r="A66" s="324"/>
      <c r="B66" s="328" t="s">
        <v>28</v>
      </c>
      <c r="C66" s="328"/>
      <c r="D66" s="31"/>
      <c r="E66" s="31"/>
      <c r="G66" s="335"/>
      <c r="H66" s="328" t="s">
        <v>28</v>
      </c>
      <c r="I66" s="328"/>
      <c r="J66" s="31"/>
      <c r="K66" s="31"/>
    </row>
  </sheetData>
  <mergeCells count="30">
    <mergeCell ref="G61:K61"/>
    <mergeCell ref="G62:G66"/>
    <mergeCell ref="H62:I62"/>
    <mergeCell ref="H63:I63"/>
    <mergeCell ref="H64:I64"/>
    <mergeCell ref="H65:I65"/>
    <mergeCell ref="H66:I66"/>
    <mergeCell ref="I55:I56"/>
    <mergeCell ref="G57:K57"/>
    <mergeCell ref="G58:G60"/>
    <mergeCell ref="H58:I58"/>
    <mergeCell ref="H59:I59"/>
    <mergeCell ref="H60:I60"/>
    <mergeCell ref="G55:H56"/>
    <mergeCell ref="A61:E61"/>
    <mergeCell ref="A62:A66"/>
    <mergeCell ref="B62:C62"/>
    <mergeCell ref="B63:C63"/>
    <mergeCell ref="B64:C64"/>
    <mergeCell ref="B65:C65"/>
    <mergeCell ref="B66:C66"/>
    <mergeCell ref="B60:C60"/>
    <mergeCell ref="B59:C59"/>
    <mergeCell ref="B58:C58"/>
    <mergeCell ref="A58:A60"/>
    <mergeCell ref="E13:F13"/>
    <mergeCell ref="A55:B56"/>
    <mergeCell ref="C55:C56"/>
    <mergeCell ref="A57:E57"/>
    <mergeCell ref="E25:F25"/>
  </mergeCells>
  <phoneticPr fontId="0" type="noConversion"/>
  <pageMargins left="0.74803149606299213" right="0.31496062992125984" top="0.98425196850393704" bottom="0.984251968503937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14</vt:i4>
      </vt:variant>
    </vt:vector>
  </HeadingPairs>
  <TitlesOfParts>
    <vt:vector size="23" baseType="lpstr">
      <vt:lpstr>INVESTIGADOR SENIOR</vt:lpstr>
      <vt:lpstr>INVESTIGADOR JUNIOR</vt:lpstr>
      <vt:lpstr>INVEST. EN FORMACIÓN-PRÁCTICAS</vt:lpstr>
      <vt:lpstr>TITULADOS SUPERIORES I</vt:lpstr>
      <vt:lpstr>TITULADOS SUPERIORES II</vt:lpstr>
      <vt:lpstr>TITULADOS DE GRADO MEDIO</vt:lpstr>
      <vt:lpstr>ESPECIALISTAS TECNICOS</vt:lpstr>
      <vt:lpstr>AUXILIARES</vt:lpstr>
      <vt:lpstr>PARAMETROS</vt:lpstr>
      <vt:lpstr>AUXILIARES!Área_de_impresión</vt:lpstr>
      <vt:lpstr>'INVEST. EN FORMACIÓN-PRÁCTICAS'!Área_de_impresión</vt:lpstr>
      <vt:lpstr>'INVESTIGADOR JUNIOR'!Área_de_impresión</vt:lpstr>
      <vt:lpstr>'INVESTIGADOR SENIOR'!Área_de_impresión</vt:lpstr>
      <vt:lpstr>'TITULADOS DE GRADO MEDIO'!Área_de_impresión</vt:lpstr>
      <vt:lpstr>'TITULADOS SUPERIORES I'!Área_de_impresión</vt:lpstr>
      <vt:lpstr>'TITULADOS SUPERIORES II'!Área_de_impresión</vt:lpstr>
      <vt:lpstr>AUXILIARES!Títulos_a_imprimir</vt:lpstr>
      <vt:lpstr>'INVEST. EN FORMACIÓN-PRÁCTICAS'!Títulos_a_imprimir</vt:lpstr>
      <vt:lpstr>'INVESTIGADOR JUNIOR'!Títulos_a_imprimir</vt:lpstr>
      <vt:lpstr>'INVESTIGADOR SENIOR'!Títulos_a_imprimir</vt:lpstr>
      <vt:lpstr>'TITULADOS DE GRADO MEDIO'!Títulos_a_imprimir</vt:lpstr>
      <vt:lpstr>'TITULADOS SUPERIORES I'!Títulos_a_imprimir</vt:lpstr>
      <vt:lpstr>'TITULADOS SUPERIORES II'!Títulos_a_imprimir</vt:lpstr>
    </vt:vector>
  </TitlesOfParts>
  <Company>oscar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gcremades@umh.es</dc:creator>
  <cp:lastModifiedBy>Fuentes Garcia, Susana</cp:lastModifiedBy>
  <cp:lastPrinted>2023-02-20T09:51:06Z</cp:lastPrinted>
  <dcterms:created xsi:type="dcterms:W3CDTF">2003-11-11T19:24:53Z</dcterms:created>
  <dcterms:modified xsi:type="dcterms:W3CDTF">2025-07-30T07:17:57Z</dcterms:modified>
</cp:coreProperties>
</file>