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+General\ESTADISTICAS ISA\PRESUPUESTOS\PRESUPUESTOS 2025\Anexo Presupuesto I+D  01.01.25\4. Actualización orden 01.07.25 efectos de 01.09.25 salvo predo\"/>
    </mc:Choice>
  </mc:AlternateContent>
  <xr:revisionPtr revIDLastSave="0" documentId="13_ncr:1_{1D022F5E-3221-428D-B8AC-96BFF118AC33}" xr6:coauthVersionLast="47" xr6:coauthVersionMax="47" xr10:uidLastSave="{00000000-0000-0000-0000-000000000000}"/>
  <workbookProtection workbookAlgorithmName="SHA-512" workbookHashValue="z9ldAv5QlVBsIUgg8y0b8zrgi99ITPYIKWGCExo1+iaVLMG63uUkGgzC1F4UYGdV5HR4DQ1N8L0SGvn4QtR6hg==" workbookSaltValue="Bq9LLA9CihEJcJyuIEYRSw==" workbookSpinCount="100000" lockStructure="1"/>
  <bookViews>
    <workbookView xWindow="-120" yWindow="-120" windowWidth="29040" windowHeight="15720" tabRatio="859" activeTab="7" xr2:uid="{00000000-000D-0000-FFFF-FFFF00000000}"/>
  </bookViews>
  <sheets>
    <sheet name="INVESTIGADOR SENIOR" sheetId="7" r:id="rId1"/>
    <sheet name="INVESTIGADOR JUNIOR" sheetId="13" r:id="rId2"/>
    <sheet name="INVEST. EN FORMACIÓN-PRÁCTICAS" sheetId="14" state="hidden" r:id="rId3"/>
    <sheet name="TITULADOS SUPERIORES I" sheetId="12" r:id="rId4"/>
    <sheet name="TITULADOS SUPERIORES II" sheetId="11" r:id="rId5"/>
    <sheet name="TITULADOS DE GRADO MEDIO" sheetId="5" r:id="rId6"/>
    <sheet name="ESPECIALISTAS TECNICOS" sheetId="4" r:id="rId7"/>
    <sheet name="AUXILIARES" sheetId="2" r:id="rId8"/>
    <sheet name="PARAMETROS" sheetId="3" state="hidden" r:id="rId9"/>
  </sheets>
  <definedNames>
    <definedName name="_xlnm.Print_Area" localSheetId="7">AUXILIARES!$A$2:$D$39</definedName>
    <definedName name="_xlnm.Print_Area" localSheetId="2">'INVEST. EN FORMACIÓN-PRÁCTICAS'!$A$2:$C$10</definedName>
    <definedName name="_xlnm.Print_Area" localSheetId="1">'INVESTIGADOR JUNIOR'!$A$2:$G$40</definedName>
    <definedName name="_xlnm.Print_Area" localSheetId="0">'INVESTIGADOR SENIOR'!$A$2:$G$40</definedName>
    <definedName name="_xlnm.Print_Area" localSheetId="5">'TITULADOS DE GRADO MEDIO'!$A$2:$G$40</definedName>
    <definedName name="_xlnm.Print_Area" localSheetId="3">'TITULADOS SUPERIORES I'!$A$2:$G$40</definedName>
    <definedName name="_xlnm.Print_Area" localSheetId="4">'TITULADOS SUPERIORES II'!$A$2:$G$40</definedName>
    <definedName name="RETRIBUCION">#REF!</definedName>
    <definedName name="_xlnm.Print_Titles" localSheetId="7">AUXILIARES!$2:$2</definedName>
    <definedName name="_xlnm.Print_Titles" localSheetId="2">'INVEST. EN FORMACIÓN-PRÁCTICAS'!$2:$3</definedName>
    <definedName name="_xlnm.Print_Titles" localSheetId="1">'INVESTIGADOR JUNIOR'!$2:$3</definedName>
    <definedName name="_xlnm.Print_Titles" localSheetId="0">'INVESTIGADOR SENIOR'!$2:$3</definedName>
    <definedName name="_xlnm.Print_Titles" localSheetId="5">'TITULADOS DE GRADO MEDIO'!$2:$3</definedName>
    <definedName name="_xlnm.Print_Titles" localSheetId="3">'TITULADOS SUPERIORES I'!$2:$3</definedName>
    <definedName name="_xlnm.Print_Titles" localSheetId="4">'TITULADOS SUPERIORES II'!$2:$3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F20" i="3"/>
  <c r="D64" i="3" l="1"/>
  <c r="D63" i="3"/>
  <c r="E63" i="3"/>
  <c r="E64" i="3"/>
  <c r="E62" i="3"/>
  <c r="E59" i="3"/>
  <c r="E58" i="3"/>
  <c r="D62" i="3"/>
  <c r="D59" i="3"/>
  <c r="D58" i="3"/>
  <c r="M11" i="14" l="1"/>
  <c r="O11" i="14" s="1"/>
  <c r="M9" i="14"/>
  <c r="O9" i="14" s="1"/>
  <c r="G9" i="14"/>
  <c r="N13" i="14"/>
  <c r="O13" i="14" l="1"/>
  <c r="B8" i="14"/>
  <c r="C8" i="14" s="1"/>
  <c r="B7" i="14"/>
  <c r="D7" i="14" s="1"/>
  <c r="B6" i="14"/>
  <c r="D6" i="14" s="1"/>
  <c r="B5" i="14"/>
  <c r="D5" i="14" s="1"/>
  <c r="D4" i="14"/>
  <c r="C4" i="14"/>
  <c r="C5" i="14" l="1"/>
  <c r="C6" i="14"/>
  <c r="C7" i="14"/>
  <c r="D8" i="14"/>
  <c r="B10" i="14"/>
  <c r="D10" i="14" s="1"/>
  <c r="F32" i="2"/>
  <c r="F32" i="4"/>
  <c r="I32" i="5"/>
  <c r="I32" i="11"/>
  <c r="I32" i="12"/>
  <c r="I32" i="13"/>
  <c r="I32" i="7"/>
  <c r="C10" i="14" l="1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B14" i="3" l="1"/>
  <c r="B15" i="3" s="1"/>
  <c r="G22" i="14" l="1"/>
  <c r="I22" i="14" s="1"/>
  <c r="G11" i="14"/>
  <c r="G20" i="14"/>
  <c r="H24" i="14"/>
  <c r="H13" i="14" l="1"/>
  <c r="I11" i="14"/>
  <c r="J11" i="14" s="1"/>
  <c r="I9" i="14"/>
  <c r="J9" i="14" s="1"/>
  <c r="J13" i="14" l="1"/>
  <c r="I13" i="14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" i="2"/>
  <c r="H18" i="4" l="1"/>
  <c r="H18" i="2"/>
  <c r="G32" i="2"/>
  <c r="I32" i="2" s="1"/>
  <c r="I34" i="2" s="1"/>
  <c r="G16" i="2"/>
  <c r="I16" i="2" s="1"/>
  <c r="G14" i="2"/>
  <c r="I14" i="2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" i="4"/>
  <c r="G32" i="4"/>
  <c r="I32" i="4" s="1"/>
  <c r="I34" i="4" s="1"/>
  <c r="G14" i="4"/>
  <c r="I14" i="4" s="1"/>
  <c r="G16" i="4"/>
  <c r="I16" i="4" s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5" i="5"/>
  <c r="J32" i="5"/>
  <c r="L32" i="5" s="1"/>
  <c r="L34" i="5" s="1"/>
  <c r="K18" i="5"/>
  <c r="J16" i="5"/>
  <c r="L16" i="5" s="1"/>
  <c r="J14" i="5"/>
  <c r="L14" i="5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5" i="11"/>
  <c r="J32" i="11"/>
  <c r="L32" i="11" s="1"/>
  <c r="L34" i="11" s="1"/>
  <c r="K18" i="11"/>
  <c r="J16" i="11"/>
  <c r="L16" i="11" s="1"/>
  <c r="J14" i="11"/>
  <c r="L14" i="11" s="1"/>
  <c r="J32" i="12"/>
  <c r="L32" i="12" s="1"/>
  <c r="L34" i="12" s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5" i="12"/>
  <c r="K18" i="12"/>
  <c r="J16" i="12"/>
  <c r="L16" i="12" s="1"/>
  <c r="J14" i="12"/>
  <c r="L14" i="12" s="1"/>
  <c r="L18" i="12" l="1"/>
  <c r="L18" i="11"/>
  <c r="I18" i="2"/>
  <c r="I18" i="4"/>
  <c r="L18" i="5"/>
  <c r="J32" i="13"/>
  <c r="L32" i="13" s="1"/>
  <c r="L34" i="13" s="1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5" i="13"/>
  <c r="K18" i="13"/>
  <c r="J16" i="13"/>
  <c r="L16" i="13" s="1"/>
  <c r="J14" i="13"/>
  <c r="L14" i="13" s="1"/>
  <c r="L18" i="13" l="1"/>
  <c r="J32" i="7" l="1"/>
  <c r="L32" i="7" s="1"/>
  <c r="L34" i="7" l="1"/>
  <c r="K18" i="7" l="1"/>
  <c r="J16" i="7" l="1"/>
  <c r="L16" i="7" s="1"/>
  <c r="J14" i="7"/>
  <c r="L14" i="7" s="1"/>
  <c r="L18" i="7" l="1"/>
  <c r="F17" i="3"/>
  <c r="C49" i="3" l="1"/>
  <c r="C50" i="3" s="1"/>
  <c r="B49" i="3"/>
  <c r="C42" i="3"/>
  <c r="B42" i="3"/>
  <c r="C35" i="3"/>
  <c r="C36" i="3" s="1"/>
  <c r="B35" i="3"/>
  <c r="C21" i="3"/>
  <c r="C22" i="3" s="1"/>
  <c r="B21" i="3"/>
  <c r="B22" i="3" s="1"/>
  <c r="C14" i="3"/>
  <c r="C15" i="3" s="1"/>
  <c r="C28" i="3"/>
  <c r="C30" i="3" s="1"/>
  <c r="C4" i="3" s="1"/>
  <c r="B28" i="3"/>
  <c r="B30" i="3" s="1"/>
  <c r="B4" i="3" s="1"/>
  <c r="F29" i="3"/>
  <c r="F33" i="3" s="1"/>
  <c r="C51" i="3" l="1"/>
  <c r="F21" i="3"/>
  <c r="C23" i="3"/>
  <c r="C24" i="3" s="1"/>
  <c r="B43" i="3"/>
  <c r="B44" i="3" s="1"/>
  <c r="C37" i="3"/>
  <c r="C43" i="3"/>
  <c r="C44" i="3" s="1"/>
  <c r="B36" i="3"/>
  <c r="B37" i="3" s="1"/>
  <c r="B50" i="3"/>
  <c r="B51" i="3" s="1"/>
  <c r="B16" i="3"/>
  <c r="C16" i="3"/>
  <c r="B23" i="3"/>
  <c r="B24" i="3" s="1"/>
  <c r="B8" i="3" l="1"/>
  <c r="F34" i="3"/>
  <c r="B9" i="3"/>
  <c r="B3" i="2" s="1"/>
  <c r="F22" i="3"/>
  <c r="C6" i="3"/>
  <c r="F4" i="11" s="1"/>
  <c r="G4" i="11" s="1"/>
  <c r="C45" i="3"/>
  <c r="C5" i="3"/>
  <c r="F4" i="12" s="1"/>
  <c r="F32" i="12" s="1"/>
  <c r="G32" i="12" s="1"/>
  <c r="C38" i="3"/>
  <c r="C7" i="3"/>
  <c r="F4" i="5" s="1"/>
  <c r="F7" i="5" s="1"/>
  <c r="G7" i="5" s="1"/>
  <c r="C52" i="3"/>
  <c r="C2" i="3"/>
  <c r="F4" i="7" s="1"/>
  <c r="C17" i="3"/>
  <c r="B6" i="3"/>
  <c r="B4" i="11" s="1"/>
  <c r="B36" i="11" s="1"/>
  <c r="D36" i="11" s="1"/>
  <c r="B45" i="3"/>
  <c r="B7" i="3"/>
  <c r="B4" i="5" s="1"/>
  <c r="B22" i="5" s="1"/>
  <c r="D22" i="5" s="1"/>
  <c r="B52" i="3"/>
  <c r="B5" i="3"/>
  <c r="B4" i="12" s="1"/>
  <c r="B25" i="12" s="1"/>
  <c r="D25" i="12" s="1"/>
  <c r="B38" i="3"/>
  <c r="B2" i="3"/>
  <c r="B4" i="7" s="1"/>
  <c r="B21" i="7" s="1"/>
  <c r="D21" i="7" s="1"/>
  <c r="B17" i="3"/>
  <c r="F37" i="5"/>
  <c r="G37" i="5" s="1"/>
  <c r="F20" i="5"/>
  <c r="G20" i="5" s="1"/>
  <c r="F25" i="5"/>
  <c r="G25" i="5" s="1"/>
  <c r="F32" i="5"/>
  <c r="G32" i="5" s="1"/>
  <c r="F17" i="5"/>
  <c r="G17" i="5" s="1"/>
  <c r="F28" i="5"/>
  <c r="G28" i="5" s="1"/>
  <c r="B13" i="4"/>
  <c r="D13" i="4" s="1"/>
  <c r="B12" i="4"/>
  <c r="D12" i="4" s="1"/>
  <c r="B24" i="4"/>
  <c r="D24" i="4" s="1"/>
  <c r="F21" i="5"/>
  <c r="G21" i="5" s="1"/>
  <c r="F36" i="5"/>
  <c r="G36" i="5" s="1"/>
  <c r="B39" i="4"/>
  <c r="D39" i="4" s="1"/>
  <c r="F10" i="5"/>
  <c r="G10" i="5" s="1"/>
  <c r="F20" i="12"/>
  <c r="G20" i="12" s="1"/>
  <c r="F13" i="5"/>
  <c r="G13" i="5" s="1"/>
  <c r="F40" i="5"/>
  <c r="G40" i="5" s="1"/>
  <c r="F24" i="5"/>
  <c r="G24" i="5" s="1"/>
  <c r="F8" i="5"/>
  <c r="G8" i="5" s="1"/>
  <c r="F19" i="5"/>
  <c r="G19" i="5" s="1"/>
  <c r="F14" i="5"/>
  <c r="G14" i="5" s="1"/>
  <c r="F18" i="5"/>
  <c r="G18" i="5" s="1"/>
  <c r="F34" i="5"/>
  <c r="G34" i="5" s="1"/>
  <c r="F39" i="5"/>
  <c r="G39" i="5" s="1"/>
  <c r="F35" i="5"/>
  <c r="G35" i="5" s="1"/>
  <c r="F6" i="5"/>
  <c r="G6" i="5" s="1"/>
  <c r="B38" i="11"/>
  <c r="D38" i="11" s="1"/>
  <c r="B32" i="11"/>
  <c r="D32" i="11" s="1"/>
  <c r="B30" i="11"/>
  <c r="D30" i="11" s="1"/>
  <c r="B25" i="11"/>
  <c r="D25" i="11" s="1"/>
  <c r="F12" i="12"/>
  <c r="G12" i="12" s="1"/>
  <c r="F24" i="12"/>
  <c r="G24" i="12" s="1"/>
  <c r="F36" i="12"/>
  <c r="G36" i="12" s="1"/>
  <c r="F31" i="5"/>
  <c r="G31" i="5" s="1"/>
  <c r="F15" i="5"/>
  <c r="G15" i="5" s="1"/>
  <c r="B34" i="4"/>
  <c r="D34" i="4" s="1"/>
  <c r="B22" i="4"/>
  <c r="D22" i="4" s="1"/>
  <c r="B3" i="4"/>
  <c r="B33" i="4"/>
  <c r="D33" i="4" s="1"/>
  <c r="B16" i="4"/>
  <c r="D16" i="4" s="1"/>
  <c r="B26" i="4"/>
  <c r="D26" i="4" s="1"/>
  <c r="B37" i="4"/>
  <c r="D37" i="4" s="1"/>
  <c r="B15" i="4"/>
  <c r="D15" i="4" s="1"/>
  <c r="B14" i="4"/>
  <c r="D14" i="4" s="1"/>
  <c r="B25" i="4"/>
  <c r="D25" i="4" s="1"/>
  <c r="B36" i="4"/>
  <c r="D36" i="4" s="1"/>
  <c r="B11" i="4"/>
  <c r="D11" i="4" s="1"/>
  <c r="B8" i="4"/>
  <c r="D8" i="4" s="1"/>
  <c r="B18" i="4"/>
  <c r="D18" i="4" s="1"/>
  <c r="B29" i="4"/>
  <c r="D29" i="4" s="1"/>
  <c r="B23" i="4"/>
  <c r="D23" i="4" s="1"/>
  <c r="B17" i="4"/>
  <c r="D17" i="4" s="1"/>
  <c r="B28" i="4"/>
  <c r="D28" i="4" s="1"/>
  <c r="B38" i="4"/>
  <c r="D38" i="4" s="1"/>
  <c r="B27" i="4"/>
  <c r="D27" i="4" s="1"/>
  <c r="B10" i="4"/>
  <c r="D10" i="4" s="1"/>
  <c r="B21" i="4"/>
  <c r="D21" i="4" s="1"/>
  <c r="B32" i="4"/>
  <c r="D32" i="4" s="1"/>
  <c r="B31" i="4"/>
  <c r="D31" i="4" s="1"/>
  <c r="B9" i="4"/>
  <c r="D9" i="4" s="1"/>
  <c r="B20" i="4"/>
  <c r="D20" i="4" s="1"/>
  <c r="B30" i="4"/>
  <c r="D30" i="4" s="1"/>
  <c r="B19" i="4"/>
  <c r="D19" i="4" s="1"/>
  <c r="B30" i="2"/>
  <c r="D30" i="2" s="1"/>
  <c r="B25" i="2"/>
  <c r="D25" i="2" s="1"/>
  <c r="B12" i="2"/>
  <c r="D12" i="2" s="1"/>
  <c r="B9" i="2"/>
  <c r="D9" i="2" s="1"/>
  <c r="B14" i="2"/>
  <c r="D14" i="2" s="1"/>
  <c r="B28" i="2"/>
  <c r="D28" i="2" s="1"/>
  <c r="B8" i="2"/>
  <c r="D8" i="2" s="1"/>
  <c r="B24" i="2"/>
  <c r="D24" i="2" s="1"/>
  <c r="B37" i="2"/>
  <c r="D37" i="2" s="1"/>
  <c r="B21" i="2"/>
  <c r="D21" i="2" s="1"/>
  <c r="B5" i="2"/>
  <c r="D5" i="2" s="1"/>
  <c r="B26" i="2"/>
  <c r="D26" i="2" s="1"/>
  <c r="B10" i="2"/>
  <c r="D10" i="2" s="1"/>
  <c r="B15" i="2"/>
  <c r="D15" i="2" s="1"/>
  <c r="B31" i="2"/>
  <c r="D31" i="2" s="1"/>
  <c r="B11" i="2"/>
  <c r="D11" i="2" s="1"/>
  <c r="B32" i="2"/>
  <c r="D32" i="2" s="1"/>
  <c r="B33" i="2"/>
  <c r="D33" i="2" s="1"/>
  <c r="B17" i="2"/>
  <c r="D17" i="2" s="1"/>
  <c r="B38" i="2"/>
  <c r="D38" i="2" s="1"/>
  <c r="B22" i="2"/>
  <c r="D22" i="2" s="1"/>
  <c r="B6" i="2"/>
  <c r="D6" i="2" s="1"/>
  <c r="B4" i="2"/>
  <c r="D4" i="2" s="1"/>
  <c r="B20" i="2"/>
  <c r="D20" i="2" s="1"/>
  <c r="B36" i="2"/>
  <c r="D36" i="2" s="1"/>
  <c r="B16" i="2"/>
  <c r="D16" i="2" s="1"/>
  <c r="B35" i="2"/>
  <c r="D35" i="2" s="1"/>
  <c r="B29" i="2"/>
  <c r="D29" i="2" s="1"/>
  <c r="B13" i="2"/>
  <c r="D13" i="2" s="1"/>
  <c r="B34" i="2"/>
  <c r="D34" i="2" s="1"/>
  <c r="B18" i="2"/>
  <c r="D18" i="2" s="1"/>
  <c r="B7" i="2"/>
  <c r="D7" i="2" s="1"/>
  <c r="B23" i="2"/>
  <c r="D23" i="2" s="1"/>
  <c r="B39" i="2"/>
  <c r="D39" i="2" s="1"/>
  <c r="B19" i="2"/>
  <c r="D19" i="2" s="1"/>
  <c r="B27" i="2"/>
  <c r="D27" i="2" s="1"/>
  <c r="B36" i="5"/>
  <c r="D36" i="5" s="1"/>
  <c r="B20" i="5"/>
  <c r="D20" i="5" s="1"/>
  <c r="B33" i="5"/>
  <c r="D33" i="5" s="1"/>
  <c r="B7" i="12"/>
  <c r="D7" i="12" s="1"/>
  <c r="B20" i="12"/>
  <c r="D20" i="12" s="1"/>
  <c r="B13" i="12"/>
  <c r="D13" i="12" s="1"/>
  <c r="B35" i="12"/>
  <c r="D35" i="12" s="1"/>
  <c r="B21" i="12"/>
  <c r="D21" i="12" s="1"/>
  <c r="B37" i="12"/>
  <c r="D37" i="12" s="1"/>
  <c r="B15" i="12"/>
  <c r="D15" i="12" s="1"/>
  <c r="B17" i="12"/>
  <c r="D17" i="12" s="1"/>
  <c r="B8" i="12"/>
  <c r="D8" i="12" s="1"/>
  <c r="F27" i="11"/>
  <c r="G27" i="11" s="1"/>
  <c r="F34" i="11"/>
  <c r="G34" i="11" s="1"/>
  <c r="F14" i="11"/>
  <c r="G14" i="11" s="1"/>
  <c r="F6" i="11"/>
  <c r="G6" i="11" s="1"/>
  <c r="F30" i="11"/>
  <c r="G30" i="11" s="1"/>
  <c r="F18" i="11"/>
  <c r="G18" i="11" s="1"/>
  <c r="F10" i="11"/>
  <c r="G10" i="11" s="1"/>
  <c r="F38" i="11"/>
  <c r="G38" i="11" s="1"/>
  <c r="F23" i="11"/>
  <c r="G23" i="11" s="1"/>
  <c r="F32" i="11"/>
  <c r="G32" i="11" s="1"/>
  <c r="F35" i="11"/>
  <c r="G35" i="11" s="1"/>
  <c r="F25" i="11"/>
  <c r="G25" i="11" s="1"/>
  <c r="F9" i="11"/>
  <c r="G9" i="11" s="1"/>
  <c r="F8" i="11"/>
  <c r="G8" i="11" s="1"/>
  <c r="F16" i="11"/>
  <c r="G16" i="11" s="1"/>
  <c r="F33" i="11"/>
  <c r="G33" i="11" s="1"/>
  <c r="F22" i="11"/>
  <c r="G22" i="11" s="1"/>
  <c r="F15" i="11"/>
  <c r="G15" i="11" s="1"/>
  <c r="F24" i="11"/>
  <c r="G24" i="11" s="1"/>
  <c r="F28" i="11"/>
  <c r="G28" i="11" s="1"/>
  <c r="F31" i="11"/>
  <c r="G31" i="11" s="1"/>
  <c r="F21" i="11"/>
  <c r="G21" i="11" s="1"/>
  <c r="F5" i="11"/>
  <c r="G5" i="11" s="1"/>
  <c r="F11" i="11"/>
  <c r="G11" i="11" s="1"/>
  <c r="F19" i="11"/>
  <c r="G19" i="11" s="1"/>
  <c r="F37" i="11"/>
  <c r="G37" i="11" s="1"/>
  <c r="F36" i="11"/>
  <c r="G36" i="11" s="1"/>
  <c r="F13" i="11"/>
  <c r="G13" i="11" s="1"/>
  <c r="F29" i="11"/>
  <c r="G29" i="11" s="1"/>
  <c r="F40" i="11"/>
  <c r="G40" i="11" s="1"/>
  <c r="F26" i="11"/>
  <c r="G26" i="11" s="1"/>
  <c r="F17" i="11"/>
  <c r="G17" i="11" s="1"/>
  <c r="F12" i="11"/>
  <c r="G12" i="11" s="1"/>
  <c r="F20" i="11"/>
  <c r="G20" i="11" s="1"/>
  <c r="F39" i="11"/>
  <c r="G39" i="11" s="1"/>
  <c r="F7" i="11"/>
  <c r="G7" i="11" s="1"/>
  <c r="F4" i="13"/>
  <c r="G4" i="13" s="1"/>
  <c r="C3" i="3"/>
  <c r="B4" i="13"/>
  <c r="B3" i="3"/>
  <c r="B26" i="11"/>
  <c r="D26" i="11" s="1"/>
  <c r="B23" i="11"/>
  <c r="D23" i="11" s="1"/>
  <c r="B18" i="11"/>
  <c r="D18" i="11" s="1"/>
  <c r="B10" i="11"/>
  <c r="D10" i="11" s="1"/>
  <c r="B21" i="11"/>
  <c r="D21" i="11" s="1"/>
  <c r="B19" i="11"/>
  <c r="D19" i="11" s="1"/>
  <c r="B13" i="11"/>
  <c r="D13" i="11" s="1"/>
  <c r="B11" i="11"/>
  <c r="D11" i="11" s="1"/>
  <c r="B5" i="11"/>
  <c r="D5" i="11" s="1"/>
  <c r="B27" i="11"/>
  <c r="D27" i="11" s="1"/>
  <c r="B22" i="11"/>
  <c r="D22" i="11" s="1"/>
  <c r="B14" i="11"/>
  <c r="D14" i="11" s="1"/>
  <c r="B6" i="11"/>
  <c r="D6" i="11" s="1"/>
  <c r="B17" i="11"/>
  <c r="D17" i="11" s="1"/>
  <c r="B9" i="11"/>
  <c r="D9" i="11" s="1"/>
  <c r="B7" i="11"/>
  <c r="D7" i="11" s="1"/>
  <c r="B15" i="11"/>
  <c r="D15" i="11" s="1"/>
  <c r="F40" i="12"/>
  <c r="G40" i="12" s="1"/>
  <c r="F39" i="12"/>
  <c r="G39" i="12" s="1"/>
  <c r="F35" i="12"/>
  <c r="G35" i="12" s="1"/>
  <c r="F31" i="12"/>
  <c r="G31" i="12" s="1"/>
  <c r="F27" i="12"/>
  <c r="G27" i="12" s="1"/>
  <c r="F23" i="12"/>
  <c r="G23" i="12" s="1"/>
  <c r="F19" i="12"/>
  <c r="G19" i="12" s="1"/>
  <c r="F15" i="12"/>
  <c r="G15" i="12" s="1"/>
  <c r="F11" i="12"/>
  <c r="G11" i="12" s="1"/>
  <c r="F7" i="12"/>
  <c r="G7" i="12" s="1"/>
  <c r="F37" i="12"/>
  <c r="G37" i="12" s="1"/>
  <c r="F33" i="12"/>
  <c r="G33" i="12" s="1"/>
  <c r="F29" i="12"/>
  <c r="G29" i="12" s="1"/>
  <c r="F25" i="12"/>
  <c r="G25" i="12" s="1"/>
  <c r="F21" i="12"/>
  <c r="G21" i="12" s="1"/>
  <c r="F17" i="12"/>
  <c r="G17" i="12" s="1"/>
  <c r="F13" i="12"/>
  <c r="G13" i="12" s="1"/>
  <c r="F9" i="12"/>
  <c r="G9" i="12" s="1"/>
  <c r="F5" i="12"/>
  <c r="G5" i="12" s="1"/>
  <c r="F30" i="12"/>
  <c r="G30" i="12" s="1"/>
  <c r="F14" i="12"/>
  <c r="G14" i="12" s="1"/>
  <c r="F18" i="12"/>
  <c r="G18" i="12" s="1"/>
  <c r="F26" i="12"/>
  <c r="G26" i="12" s="1"/>
  <c r="F10" i="12"/>
  <c r="G10" i="12" s="1"/>
  <c r="F38" i="12"/>
  <c r="G38" i="12" s="1"/>
  <c r="F22" i="12"/>
  <c r="G22" i="12" s="1"/>
  <c r="F6" i="12"/>
  <c r="G6" i="12" s="1"/>
  <c r="F34" i="12"/>
  <c r="G34" i="12" s="1"/>
  <c r="B16" i="11" l="1"/>
  <c r="D16" i="11" s="1"/>
  <c r="B8" i="11"/>
  <c r="D8" i="11" s="1"/>
  <c r="B31" i="11"/>
  <c r="D31" i="11" s="1"/>
  <c r="B34" i="11"/>
  <c r="D34" i="11" s="1"/>
  <c r="B40" i="11"/>
  <c r="D40" i="11" s="1"/>
  <c r="B33" i="11"/>
  <c r="D33" i="11" s="1"/>
  <c r="F8" i="12"/>
  <c r="G8" i="12" s="1"/>
  <c r="F16" i="12"/>
  <c r="G16" i="12" s="1"/>
  <c r="F28" i="12"/>
  <c r="G28" i="12" s="1"/>
  <c r="B24" i="5"/>
  <c r="D24" i="5" s="1"/>
  <c r="B12" i="5"/>
  <c r="D12" i="5" s="1"/>
  <c r="B35" i="5"/>
  <c r="D35" i="5" s="1"/>
  <c r="B29" i="5"/>
  <c r="D29" i="5" s="1"/>
  <c r="B40" i="5"/>
  <c r="D40" i="5" s="1"/>
  <c r="B7" i="5"/>
  <c r="D7" i="5" s="1"/>
  <c r="B37" i="5"/>
  <c r="D37" i="5" s="1"/>
  <c r="B13" i="5"/>
  <c r="D13" i="5" s="1"/>
  <c r="B25" i="5"/>
  <c r="D25" i="5" s="1"/>
  <c r="B9" i="5"/>
  <c r="D9" i="5" s="1"/>
  <c r="B5" i="5"/>
  <c r="D5" i="5" s="1"/>
  <c r="B28" i="5"/>
  <c r="D28" i="5" s="1"/>
  <c r="B6" i="5"/>
  <c r="D6" i="5" s="1"/>
  <c r="B34" i="5"/>
  <c r="D34" i="5" s="1"/>
  <c r="B23" i="5"/>
  <c r="D23" i="5" s="1"/>
  <c r="B19" i="5"/>
  <c r="D19" i="5" s="1"/>
  <c r="B39" i="5"/>
  <c r="D39" i="5" s="1"/>
  <c r="B16" i="5"/>
  <c r="D16" i="5" s="1"/>
  <c r="B11" i="5"/>
  <c r="D11" i="5" s="1"/>
  <c r="B15" i="5"/>
  <c r="D15" i="5" s="1"/>
  <c r="B26" i="5"/>
  <c r="D26" i="5" s="1"/>
  <c r="B8" i="5"/>
  <c r="D8" i="5" s="1"/>
  <c r="B17" i="5"/>
  <c r="D17" i="5" s="1"/>
  <c r="B21" i="5"/>
  <c r="D21" i="5" s="1"/>
  <c r="B32" i="5"/>
  <c r="D32" i="5" s="1"/>
  <c r="B27" i="5"/>
  <c r="D27" i="5" s="1"/>
  <c r="B31" i="5"/>
  <c r="D31" i="5" s="1"/>
  <c r="B30" i="5"/>
  <c r="D30" i="5" s="1"/>
  <c r="B29" i="11"/>
  <c r="D29" i="11" s="1"/>
  <c r="B20" i="11"/>
  <c r="D20" i="11" s="1"/>
  <c r="B39" i="11"/>
  <c r="D39" i="11" s="1"/>
  <c r="B24" i="11"/>
  <c r="D24" i="11" s="1"/>
  <c r="B35" i="11"/>
  <c r="D35" i="11" s="1"/>
  <c r="B37" i="11"/>
  <c r="D37" i="11" s="1"/>
  <c r="B12" i="11"/>
  <c r="D12" i="11" s="1"/>
  <c r="B28" i="11"/>
  <c r="D28" i="11" s="1"/>
  <c r="B35" i="4"/>
  <c r="D35" i="4" s="1"/>
  <c r="B6" i="4"/>
  <c r="D6" i="4" s="1"/>
  <c r="B7" i="4"/>
  <c r="D7" i="4" s="1"/>
  <c r="B4" i="4"/>
  <c r="D4" i="4" s="1"/>
  <c r="B5" i="4"/>
  <c r="D5" i="4" s="1"/>
  <c r="B38" i="5"/>
  <c r="D38" i="5" s="1"/>
  <c r="B10" i="5"/>
  <c r="D10" i="5" s="1"/>
  <c r="B14" i="5"/>
  <c r="D14" i="5" s="1"/>
  <c r="B18" i="5"/>
  <c r="D18" i="5" s="1"/>
  <c r="G4" i="5"/>
  <c r="G4" i="12"/>
  <c r="F14" i="7"/>
  <c r="G14" i="7" s="1"/>
  <c r="F16" i="7"/>
  <c r="G16" i="7" s="1"/>
  <c r="B33" i="7"/>
  <c r="D33" i="7" s="1"/>
  <c r="B9" i="7"/>
  <c r="D9" i="7" s="1"/>
  <c r="B5" i="7"/>
  <c r="D5" i="7" s="1"/>
  <c r="F22" i="5"/>
  <c r="G22" i="5" s="1"/>
  <c r="F27" i="5"/>
  <c r="G27" i="5" s="1"/>
  <c r="F38" i="5"/>
  <c r="G38" i="5" s="1"/>
  <c r="F30" i="5"/>
  <c r="G30" i="5" s="1"/>
  <c r="F26" i="5"/>
  <c r="G26" i="5" s="1"/>
  <c r="F33" i="5"/>
  <c r="G33" i="5" s="1"/>
  <c r="F23" i="5"/>
  <c r="G23" i="5" s="1"/>
  <c r="F11" i="5"/>
  <c r="G11" i="5" s="1"/>
  <c r="F5" i="5"/>
  <c r="G5" i="5" s="1"/>
  <c r="F12" i="5"/>
  <c r="G12" i="5" s="1"/>
  <c r="F29" i="5"/>
  <c r="G29" i="5" s="1"/>
  <c r="F16" i="5"/>
  <c r="G16" i="5" s="1"/>
  <c r="F9" i="5"/>
  <c r="G9" i="5" s="1"/>
  <c r="B12" i="12"/>
  <c r="D12" i="12" s="1"/>
  <c r="B32" i="12"/>
  <c r="D32" i="12" s="1"/>
  <c r="B40" i="12"/>
  <c r="D40" i="12" s="1"/>
  <c r="B14" i="12"/>
  <c r="D14" i="12" s="1"/>
  <c r="B24" i="12"/>
  <c r="D24" i="12" s="1"/>
  <c r="B6" i="12"/>
  <c r="D6" i="12" s="1"/>
  <c r="B26" i="12"/>
  <c r="D26" i="12" s="1"/>
  <c r="B29" i="12"/>
  <c r="D29" i="12" s="1"/>
  <c r="B9" i="12"/>
  <c r="D9" i="12" s="1"/>
  <c r="B38" i="12"/>
  <c r="D38" i="12" s="1"/>
  <c r="B31" i="12"/>
  <c r="D31" i="12" s="1"/>
  <c r="B16" i="12"/>
  <c r="D16" i="12" s="1"/>
  <c r="B27" i="12"/>
  <c r="D27" i="12" s="1"/>
  <c r="B23" i="12"/>
  <c r="D23" i="12" s="1"/>
  <c r="B33" i="12"/>
  <c r="D33" i="12" s="1"/>
  <c r="B34" i="12"/>
  <c r="D34" i="12" s="1"/>
  <c r="B10" i="12"/>
  <c r="D10" i="12" s="1"/>
  <c r="B36" i="12"/>
  <c r="D36" i="12" s="1"/>
  <c r="B39" i="12"/>
  <c r="D39" i="12" s="1"/>
  <c r="B28" i="12"/>
  <c r="D28" i="12" s="1"/>
  <c r="B18" i="12"/>
  <c r="D18" i="12" s="1"/>
  <c r="B5" i="12"/>
  <c r="D5" i="12" s="1"/>
  <c r="B30" i="12"/>
  <c r="D30" i="12" s="1"/>
  <c r="B22" i="12"/>
  <c r="D22" i="12" s="1"/>
  <c r="B11" i="12"/>
  <c r="D11" i="12" s="1"/>
  <c r="B19" i="12"/>
  <c r="D19" i="12" s="1"/>
  <c r="B27" i="7"/>
  <c r="D27" i="7" s="1"/>
  <c r="B19" i="7"/>
  <c r="D19" i="7" s="1"/>
  <c r="B34" i="7"/>
  <c r="D34" i="7" s="1"/>
  <c r="B29" i="7"/>
  <c r="D29" i="7" s="1"/>
  <c r="B7" i="7"/>
  <c r="D7" i="7" s="1"/>
  <c r="B10" i="7"/>
  <c r="D10" i="7" s="1"/>
  <c r="B38" i="7"/>
  <c r="D38" i="7" s="1"/>
  <c r="B13" i="7"/>
  <c r="D13" i="7" s="1"/>
  <c r="B28" i="7"/>
  <c r="D28" i="7" s="1"/>
  <c r="B40" i="7"/>
  <c r="D40" i="7" s="1"/>
  <c r="B20" i="7"/>
  <c r="D20" i="7" s="1"/>
  <c r="B32" i="7"/>
  <c r="D32" i="7" s="1"/>
  <c r="B12" i="7"/>
  <c r="D12" i="7" s="1"/>
  <c r="B26" i="7"/>
  <c r="D26" i="7" s="1"/>
  <c r="B39" i="7"/>
  <c r="D39" i="7" s="1"/>
  <c r="B22" i="7"/>
  <c r="D22" i="7" s="1"/>
  <c r="B16" i="7"/>
  <c r="D16" i="7" s="1"/>
  <c r="B31" i="7"/>
  <c r="D31" i="7" s="1"/>
  <c r="B18" i="7"/>
  <c r="D18" i="7" s="1"/>
  <c r="B8" i="7"/>
  <c r="D8" i="7" s="1"/>
  <c r="B25" i="7"/>
  <c r="D25" i="7" s="1"/>
  <c r="B11" i="7"/>
  <c r="D11" i="7" s="1"/>
  <c r="B17" i="7"/>
  <c r="D17" i="7" s="1"/>
  <c r="B36" i="7"/>
  <c r="D36" i="7" s="1"/>
  <c r="B6" i="7"/>
  <c r="D6" i="7" s="1"/>
  <c r="B15" i="7"/>
  <c r="D15" i="7" s="1"/>
  <c r="B30" i="7"/>
  <c r="D30" i="7" s="1"/>
  <c r="B37" i="7"/>
  <c r="D37" i="7" s="1"/>
  <c r="B24" i="7"/>
  <c r="D24" i="7" s="1"/>
  <c r="B23" i="7"/>
  <c r="D23" i="7" s="1"/>
  <c r="B14" i="7"/>
  <c r="D14" i="7" s="1"/>
  <c r="B35" i="7"/>
  <c r="D35" i="7" s="1"/>
  <c r="F12" i="7"/>
  <c r="G12" i="7" s="1"/>
  <c r="F39" i="7"/>
  <c r="G39" i="7" s="1"/>
  <c r="F28" i="7"/>
  <c r="G28" i="7" s="1"/>
  <c r="F20" i="7"/>
  <c r="G20" i="7" s="1"/>
  <c r="F15" i="7"/>
  <c r="G15" i="7" s="1"/>
  <c r="F31" i="7"/>
  <c r="G31" i="7" s="1"/>
  <c r="F7" i="7"/>
  <c r="G7" i="7" s="1"/>
  <c r="F11" i="7"/>
  <c r="G11" i="7" s="1"/>
  <c r="F36" i="7"/>
  <c r="G36" i="7" s="1"/>
  <c r="F5" i="7"/>
  <c r="G5" i="7" s="1"/>
  <c r="F35" i="7"/>
  <c r="G35" i="7" s="1"/>
  <c r="F32" i="7"/>
  <c r="G32" i="7" s="1"/>
  <c r="F24" i="7"/>
  <c r="G24" i="7" s="1"/>
  <c r="F25" i="7"/>
  <c r="G25" i="7" s="1"/>
  <c r="F30" i="7"/>
  <c r="G30" i="7" s="1"/>
  <c r="F19" i="7"/>
  <c r="G19" i="7" s="1"/>
  <c r="F8" i="7"/>
  <c r="G8" i="7" s="1"/>
  <c r="F23" i="7"/>
  <c r="G23" i="7" s="1"/>
  <c r="F27" i="7"/>
  <c r="G27" i="7" s="1"/>
  <c r="F40" i="7"/>
  <c r="G40" i="7" s="1"/>
  <c r="G4" i="7"/>
  <c r="F29" i="7"/>
  <c r="G29" i="7" s="1"/>
  <c r="F6" i="7"/>
  <c r="G6" i="7" s="1"/>
  <c r="F26" i="7"/>
  <c r="G26" i="7" s="1"/>
  <c r="F33" i="7"/>
  <c r="G33" i="7" s="1"/>
  <c r="F22" i="7"/>
  <c r="G22" i="7" s="1"/>
  <c r="F21" i="7"/>
  <c r="G21" i="7" s="1"/>
  <c r="F10" i="7"/>
  <c r="G10" i="7" s="1"/>
  <c r="F34" i="7"/>
  <c r="G34" i="7" s="1"/>
  <c r="F37" i="7"/>
  <c r="G37" i="7" s="1"/>
  <c r="F17" i="7"/>
  <c r="G17" i="7" s="1"/>
  <c r="F18" i="7"/>
  <c r="G18" i="7" s="1"/>
  <c r="F38" i="7"/>
  <c r="G38" i="7" s="1"/>
  <c r="F13" i="7"/>
  <c r="G13" i="7" s="1"/>
  <c r="F9" i="7"/>
  <c r="G9" i="7" s="1"/>
  <c r="B25" i="13"/>
  <c r="D25" i="13" s="1"/>
  <c r="B9" i="13"/>
  <c r="D9" i="13" s="1"/>
  <c r="B8" i="13"/>
  <c r="D8" i="13" s="1"/>
  <c r="B24" i="13"/>
  <c r="D24" i="13" s="1"/>
  <c r="B40" i="13"/>
  <c r="D40" i="13" s="1"/>
  <c r="B23" i="13"/>
  <c r="D23" i="13" s="1"/>
  <c r="B39" i="13"/>
  <c r="D39" i="13" s="1"/>
  <c r="B18" i="13"/>
  <c r="D18" i="13" s="1"/>
  <c r="B34" i="13"/>
  <c r="D34" i="13" s="1"/>
  <c r="B29" i="13"/>
  <c r="D29" i="13" s="1"/>
  <c r="B6" i="13"/>
  <c r="D6" i="13" s="1"/>
  <c r="B36" i="13"/>
  <c r="D36" i="13" s="1"/>
  <c r="B14" i="13"/>
  <c r="D14" i="13" s="1"/>
  <c r="B37" i="13"/>
  <c r="D37" i="13" s="1"/>
  <c r="B21" i="13"/>
  <c r="D21" i="13" s="1"/>
  <c r="B7" i="13"/>
  <c r="D7" i="13" s="1"/>
  <c r="B12" i="13"/>
  <c r="D12" i="13" s="1"/>
  <c r="B28" i="13"/>
  <c r="D28" i="13" s="1"/>
  <c r="B11" i="13"/>
  <c r="D11" i="13" s="1"/>
  <c r="B27" i="13"/>
  <c r="D27" i="13" s="1"/>
  <c r="B22" i="13"/>
  <c r="D22" i="13" s="1"/>
  <c r="B38" i="13"/>
  <c r="D38" i="13" s="1"/>
  <c r="B13" i="13"/>
  <c r="D13" i="13" s="1"/>
  <c r="B20" i="13"/>
  <c r="D20" i="13" s="1"/>
  <c r="B19" i="13"/>
  <c r="D19" i="13" s="1"/>
  <c r="B30" i="13"/>
  <c r="D30" i="13" s="1"/>
  <c r="B33" i="13"/>
  <c r="D33" i="13" s="1"/>
  <c r="B17" i="13"/>
  <c r="D17" i="13" s="1"/>
  <c r="B5" i="13"/>
  <c r="D5" i="13" s="1"/>
  <c r="B16" i="13"/>
  <c r="D16" i="13" s="1"/>
  <c r="B32" i="13"/>
  <c r="D32" i="13" s="1"/>
  <c r="B15" i="13"/>
  <c r="D15" i="13" s="1"/>
  <c r="B31" i="13"/>
  <c r="D31" i="13" s="1"/>
  <c r="B10" i="13"/>
  <c r="D10" i="13" s="1"/>
  <c r="B26" i="13"/>
  <c r="D26" i="13" s="1"/>
  <c r="B35" i="13"/>
  <c r="D35" i="13" s="1"/>
  <c r="F39" i="13"/>
  <c r="G39" i="13" s="1"/>
  <c r="F23" i="13"/>
  <c r="G23" i="13" s="1"/>
  <c r="F7" i="13"/>
  <c r="G7" i="13" s="1"/>
  <c r="F35" i="13"/>
  <c r="G35" i="13" s="1"/>
  <c r="F19" i="13"/>
  <c r="G19" i="13" s="1"/>
  <c r="F5" i="13"/>
  <c r="G5" i="13" s="1"/>
  <c r="F31" i="13"/>
  <c r="G31" i="13" s="1"/>
  <c r="F15" i="13"/>
  <c r="G15" i="13" s="1"/>
  <c r="F6" i="13"/>
  <c r="G6" i="13" s="1"/>
  <c r="F27" i="13"/>
  <c r="G27" i="13" s="1"/>
  <c r="F11" i="13"/>
  <c r="G11" i="13" s="1"/>
  <c r="F26" i="13"/>
  <c r="G26" i="13" s="1"/>
  <c r="F10" i="13"/>
  <c r="G10" i="13" s="1"/>
  <c r="F13" i="13"/>
  <c r="G13" i="13" s="1"/>
  <c r="F21" i="13"/>
  <c r="G21" i="13" s="1"/>
  <c r="F29" i="13"/>
  <c r="G29" i="13" s="1"/>
  <c r="F37" i="13"/>
  <c r="G37" i="13" s="1"/>
  <c r="F20" i="13"/>
  <c r="G20" i="13" s="1"/>
  <c r="F38" i="13"/>
  <c r="G38" i="13" s="1"/>
  <c r="F22" i="13"/>
  <c r="G22" i="13" s="1"/>
  <c r="F8" i="13"/>
  <c r="G8" i="13" s="1"/>
  <c r="F16" i="13"/>
  <c r="G16" i="13" s="1"/>
  <c r="F24" i="13"/>
  <c r="G24" i="13" s="1"/>
  <c r="F32" i="13"/>
  <c r="G32" i="13" s="1"/>
  <c r="F40" i="13"/>
  <c r="G40" i="13" s="1"/>
  <c r="F12" i="13"/>
  <c r="G12" i="13" s="1"/>
  <c r="F36" i="13"/>
  <c r="G36" i="13" s="1"/>
  <c r="F34" i="13"/>
  <c r="G34" i="13" s="1"/>
  <c r="F18" i="13"/>
  <c r="G18" i="13" s="1"/>
  <c r="F9" i="13"/>
  <c r="G9" i="13" s="1"/>
  <c r="F17" i="13"/>
  <c r="G17" i="13" s="1"/>
  <c r="F25" i="13"/>
  <c r="G25" i="13" s="1"/>
  <c r="F33" i="13"/>
  <c r="G33" i="13" s="1"/>
  <c r="F30" i="13"/>
  <c r="G30" i="13" s="1"/>
  <c r="F28" i="13"/>
  <c r="G28" i="13" s="1"/>
  <c r="F14" i="13"/>
  <c r="G14" i="13" s="1"/>
  <c r="I20" i="14"/>
  <c r="I24" i="14" s="1"/>
</calcChain>
</file>

<file path=xl/sharedStrings.xml><?xml version="1.0" encoding="utf-8"?>
<sst xmlns="http://schemas.openxmlformats.org/spreadsheetml/2006/main" count="406" uniqueCount="118">
  <si>
    <t>SALARIOS BRUTOS</t>
  </si>
  <si>
    <t>SUELDO</t>
  </si>
  <si>
    <t>P.P. EXTRAS</t>
  </si>
  <si>
    <t>INDEMNIZACION</t>
  </si>
  <si>
    <t>C. DESTINO (18)</t>
  </si>
  <si>
    <t>C. ESPECIFICO (28)</t>
  </si>
  <si>
    <t>C. DESTINO (14)</t>
  </si>
  <si>
    <t>C. ESPECIFICO (24)</t>
  </si>
  <si>
    <t>INDENIZACION</t>
  </si>
  <si>
    <t>€/MES (MÍNIMOS)</t>
  </si>
  <si>
    <t>€/MES (MAXIMOS)</t>
  </si>
  <si>
    <t>€/MES (MÁXIMOS)</t>
  </si>
  <si>
    <t>€/MES (MINIMOS)</t>
  </si>
  <si>
    <t>SUELDO (B)</t>
  </si>
  <si>
    <t>BASE MINIMA/HORA Tº PARCIAL GRUPO 1</t>
  </si>
  <si>
    <t>BASE MINIMA G1</t>
  </si>
  <si>
    <t>BASE MINIMA/HORA Tº PARCIAL GRUPO 2</t>
  </si>
  <si>
    <t>BASE MINIMA/HORA Tº PARCIAL GRUPO 4-11</t>
  </si>
  <si>
    <t>12 DIAS</t>
  </si>
  <si>
    <t>Retribución/año (*1)</t>
  </si>
  <si>
    <t>mínimas</t>
  </si>
  <si>
    <t>máximas</t>
  </si>
  <si>
    <t>PERSONAL INVESTIGADOR</t>
  </si>
  <si>
    <t>Investigador en Formación</t>
  </si>
  <si>
    <t>PERSONAL COLABORADOR EN TAREAS DE INVESTIGACIÓN</t>
  </si>
  <si>
    <t>Titulados superiores I</t>
  </si>
  <si>
    <t>Titulados superiores II</t>
  </si>
  <si>
    <t>Titulados de grado medio</t>
  </si>
  <si>
    <t>Especialistas Técnicos (*2)</t>
  </si>
  <si>
    <t>Auxiliares (*2)</t>
  </si>
  <si>
    <t>TOTAL</t>
  </si>
  <si>
    <t>INVESTIGADOR EN FORMACIÓN</t>
  </si>
  <si>
    <t>INVESTIGADOR JUNIOR</t>
  </si>
  <si>
    <t>INVESTIGADOR SENIOR</t>
  </si>
  <si>
    <t>BASE MINIMA/HORA Tº PARCIAL GRUPO 5</t>
  </si>
  <si>
    <t>AUXILIAR</t>
  </si>
  <si>
    <t>TOTAL…………………</t>
  </si>
  <si>
    <t>TOTAL…………….</t>
  </si>
  <si>
    <t>ESPECIALISTA TECNICO</t>
  </si>
  <si>
    <t>TITULADO SUPERIOR I</t>
  </si>
  <si>
    <t>TITULADO SUPERIOR II</t>
  </si>
  <si>
    <t>TITULADO DE GRADO MEDIO</t>
  </si>
  <si>
    <t>Complemento Compensatorio CD</t>
  </si>
  <si>
    <t>Investigador Senior</t>
  </si>
  <si>
    <t>Investigador Junior</t>
  </si>
  <si>
    <t>DEDICACION HORAS  SEMANALES</t>
  </si>
  <si>
    <t xml:space="preserve">RETRIBUCION MENSUAL BRUTA </t>
  </si>
  <si>
    <t>RETRIBUCIONES MINIMAS</t>
  </si>
  <si>
    <t>RETRIBUCIONES MAXIMAS</t>
  </si>
  <si>
    <t>Grupo de Cotización</t>
  </si>
  <si>
    <t>CONTINGENCIAS COMUNES</t>
  </si>
  <si>
    <t>BASE MINIMA HORA</t>
  </si>
  <si>
    <t>TOPE MÍNIMO</t>
  </si>
  <si>
    <t>TOPE MÁXIMO</t>
  </si>
  <si>
    <t>CONTINGENCIAS PROFESIONALES</t>
  </si>
  <si>
    <t>Base Cotización</t>
  </si>
  <si>
    <t>Tipos cotización %</t>
  </si>
  <si>
    <t>Cuota Patronal</t>
  </si>
  <si>
    <t>Contingencias Comunes</t>
  </si>
  <si>
    <t>Contingencias Profesionales</t>
  </si>
  <si>
    <t>Bases mínimas euros/mes</t>
  </si>
  <si>
    <t>Bases máximas euros/mes</t>
  </si>
  <si>
    <t>CALCULADORA COSTE SEG.SOCIAL TIEMPO COMPLETO</t>
  </si>
  <si>
    <t>TOTAL COSTE SEGURIDAD SOCIAL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</si>
  <si>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DEDICACION de HORAS semanales…………………………….……………………………….</t>
    </r>
  </si>
  <si>
    <t>CALCULADORA COSTE SEG.SOCIAL TIEMPO PARCIAL</t>
  </si>
  <si>
    <t>TOTAL COSTE SEGURIDAD SOCIAL……..</t>
  </si>
  <si>
    <r>
      <rPr>
        <b/>
        <sz val="10"/>
        <rFont val="Verdana"/>
        <family val="2"/>
      </rPr>
      <t>(*) NOTA:</t>
    </r>
    <r>
      <rPr>
        <sz val="10"/>
        <rFont val="Verdana"/>
        <family val="2"/>
      </rPr>
      <t xml:space="preserve"> Para calcular el coste total del contrato/renovación para el periodo, utilice la siguiente plantilla………………………………………………………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</si>
  <si>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PROPUESTA ……….……………….……………………………….</t>
    </r>
  </si>
  <si>
    <t>Base mín.Cotiz.</t>
  </si>
  <si>
    <t>Tipo cotización %</t>
  </si>
  <si>
    <t>1º año, no inferior a</t>
  </si>
  <si>
    <t>2º año, no inferior a</t>
  </si>
  <si>
    <t>3º año, no inferior a</t>
  </si>
  <si>
    <t>4º año, no inferior a</t>
  </si>
  <si>
    <t>Prorrateo de la cuantía, para percibir identica cuantia anual</t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</si>
  <si>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distintas a las establecidas en tablas, según bases de la convocatoria,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</si>
  <si>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 xml:space="preserve">, para retribuciones comprendidas </t>
    </r>
    <r>
      <rPr>
        <b/>
        <sz val="9"/>
        <rFont val="Verdana"/>
        <family val="2"/>
      </rPr>
      <t>en el rango del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</si>
  <si>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r>
      <t>(</t>
    </r>
    <r>
      <rPr>
        <b/>
        <sz val="9"/>
        <rFont val="Verdana"/>
        <family val="2"/>
      </rPr>
      <t xml:space="preserve">*) NOTA: </t>
    </r>
    <r>
      <rPr>
        <sz val="9"/>
        <rFont val="Verdana"/>
        <family val="2"/>
      </rPr>
      <t xml:space="preserve">Cuando la dedicación es a </t>
    </r>
    <r>
      <rPr>
        <b/>
        <sz val="9"/>
        <rFont val="Verdana"/>
        <family val="2"/>
      </rPr>
      <t>TIEMPO PARCIAL</t>
    </r>
    <r>
      <rPr>
        <sz val="9"/>
        <rFont val="Verdana"/>
        <family val="2"/>
      </rPr>
      <t>, para retribuciones comprendidas en el</t>
    </r>
    <r>
      <rPr>
        <b/>
        <sz val="9"/>
        <rFont val="Verdana"/>
        <family val="2"/>
      </rPr>
      <t xml:space="preserve"> rango del intervalo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establecido</t>
    </r>
    <r>
      <rPr>
        <sz val="9"/>
        <rFont val="Verdana"/>
        <family val="2"/>
      </rPr>
      <t xml:space="preserve">, usar la siguiente calculadora para determinar el coste de Seguridad Social </t>
    </r>
  </si>
  <si>
    <t>RETRIBUCION BRUTA MENSUAL (12 pagas)</t>
  </si>
  <si>
    <t>RETRIBUCION MÍNIMA A PERCIBIR (TIEMPO COMPLETO)</t>
  </si>
  <si>
    <t>CONTRATO PREDOCTORAL</t>
  </si>
  <si>
    <t>Grupo de Cotización 1</t>
  </si>
  <si>
    <t>Base mínima/hora</t>
  </si>
  <si>
    <t>TOTAL COSTE SEGURIDAD SOCIAL……………..</t>
  </si>
  <si>
    <t>RETRIBUCION BRUTA MENSUAL (14 pagas)</t>
  </si>
  <si>
    <t>TOTAL COSTE SEGURIDAD SOCIAL……………………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</si>
  <si>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</t>
    </r>
    <r>
      <rPr>
        <sz val="9"/>
        <color rgb="FF0033CC"/>
        <rFont val="Verdana"/>
        <family val="2"/>
      </rPr>
      <t xml:space="preserve"> </t>
    </r>
    <r>
      <rPr>
        <b/>
        <sz val="9"/>
        <color rgb="FF0033CC"/>
        <rFont val="Verdana"/>
        <family val="2"/>
      </rPr>
      <t>h/semana ………………………………</t>
    </r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</si>
  <si>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</t>
    </r>
    <r>
      <rPr>
        <sz val="9"/>
        <color rgb="FF0033CC"/>
        <rFont val="Verdana"/>
        <family val="2"/>
      </rPr>
      <t xml:space="preserve">para </t>
    </r>
    <r>
      <rPr>
        <b/>
        <sz val="9"/>
        <color rgb="FF0033CC"/>
        <rFont val="Verdana"/>
        <family val="2"/>
      </rPr>
      <t>37,5 h/semana ………………………………</t>
    </r>
  </si>
  <si>
    <t>BASE MINIMA G2</t>
  </si>
  <si>
    <t>BASE MINIMA G5</t>
  </si>
  <si>
    <t>BASE MINIMA G7</t>
  </si>
  <si>
    <t>RETRIBUCION BRUTA ANUAL (*)</t>
  </si>
  <si>
    <t>OCULTAR ESTA FILA AL PUBLICAR</t>
  </si>
  <si>
    <r>
      <rPr>
        <sz val="9"/>
        <color rgb="FF0033CC"/>
        <rFont val="Verdana"/>
        <family val="2"/>
      </rPr>
      <t>Por favor, introduzca la</t>
    </r>
    <r>
      <rPr>
        <b/>
        <sz val="9"/>
        <color rgb="FF0033CC"/>
        <rFont val="Verdana"/>
        <family val="2"/>
      </rPr>
      <t xml:space="preserve"> RETRIBUCION MENSUAL BRUTA PROPUESTA 37,5 h:</t>
    </r>
  </si>
  <si>
    <t>TITULADO GRADO MEDIO</t>
  </si>
  <si>
    <t xml:space="preserve">TABLAS RETRIBUTIVAS DEL PERSONAL INVESTIGADOR EN FORMACIÓN AÑO  2023                                                                                                         </t>
  </si>
  <si>
    <t>CALCULO RC E INDEMNIZACION</t>
  </si>
  <si>
    <r>
      <t xml:space="preserve">CALCULADORA COSTE SEG.SOCIAL CONTRATO                                                               </t>
    </r>
    <r>
      <rPr>
        <b/>
        <sz val="11"/>
        <color rgb="FFFF0000"/>
        <rFont val="Verdana"/>
        <family val="2"/>
      </rPr>
      <t xml:space="preserve"> EN PRÁCTICAS/ACCESO PERSONAL INVESTIGADOR DOCTOR</t>
    </r>
  </si>
  <si>
    <t>Cuota Patronal con Bonificación**</t>
  </si>
  <si>
    <r>
      <t xml:space="preserve">(**) BONIFICACION: </t>
    </r>
    <r>
      <rPr>
        <sz val="10"/>
        <rFont val="Verdana"/>
        <family val="2"/>
      </rPr>
      <t xml:space="preserve">artículo 27 del RDL 1/2023 “La contratación de personal investigador bajo la modalidad de contrato predoctoral establecida en el artículo 21 de la Ley 14/2011, de 1 de junio, de la Ciencia, la Tecnología y la Innovación, dará derecho, durante la vigencia del contrato, incluidas sus prórrogas, a una bonificación en la cotización, en los términos establecidos en el artículo 10, de </t>
    </r>
    <r>
      <rPr>
        <b/>
        <sz val="10"/>
        <rFont val="Verdana"/>
        <family val="2"/>
      </rPr>
      <t>115 euros/mes</t>
    </r>
    <r>
      <rPr>
        <sz val="10"/>
        <rFont val="Verdana"/>
        <family val="2"/>
      </rPr>
      <t>"</t>
    </r>
  </si>
  <si>
    <t>CALCULO RC</t>
  </si>
  <si>
    <r>
      <rPr>
        <b/>
        <sz val="10"/>
        <rFont val="Verdana"/>
        <family val="2"/>
      </rPr>
      <t>(*) REFERENCIA:</t>
    </r>
    <r>
      <rPr>
        <sz val="10"/>
        <rFont val="Verdana"/>
        <family val="2"/>
      </rPr>
      <t xml:space="preserve"> Conforme a las tablas retributivas del personal laboral IV Convenio colectivo único de la Administración General del Estado. Con efectos desde el 01.11.23.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</si>
  <si>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 xml:space="preserve">PREDOCTORAL                             </t>
    </r>
    <r>
      <rPr>
        <b/>
        <sz val="11"/>
        <color rgb="FF0033CC"/>
        <rFont val="Verdana"/>
        <family val="2"/>
      </rPr>
      <t>(CONTRATOS INICIADOS A PARTIR DE 01/09/23)</t>
    </r>
    <r>
      <rPr>
        <b/>
        <sz val="11"/>
        <rFont val="Verdana"/>
        <family val="2"/>
      </rPr>
      <t>*</t>
    </r>
  </si>
  <si>
    <r>
      <t xml:space="preserve">CALCULADORA COSTE SEG.SOCIAL CONTRATO </t>
    </r>
    <r>
      <rPr>
        <b/>
        <sz val="11"/>
        <color rgb="FFFF0000"/>
        <rFont val="Verdana"/>
        <family val="2"/>
      </rPr>
      <t>PREDOCTORAL</t>
    </r>
    <r>
      <rPr>
        <b/>
        <sz val="11"/>
        <rFont val="Verdana"/>
        <family val="2"/>
      </rPr>
      <t xml:space="preserve"> </t>
    </r>
    <r>
      <rPr>
        <b/>
        <sz val="11"/>
        <color rgb="FF0033CC"/>
        <rFont val="Verdana"/>
        <family val="2"/>
      </rPr>
      <t>( CONTRATOS INICIADOS ANTES DEL 01/09/23)</t>
    </r>
  </si>
  <si>
    <t>COMPENSATORIO TRANSITORIO DESDE 2024</t>
  </si>
  <si>
    <t>ANTERIORMENTE CÁLCULO INDEMNIZACION 12 DIAS</t>
  </si>
  <si>
    <t xml:space="preserve">TABLAS RETRIBUTIVAS DEL PERSONAL INVESTIGADOR AÑO 2025                                                                                                          </t>
  </si>
  <si>
    <t>CUOTA  SEG.SOCIAL 33,27%</t>
  </si>
  <si>
    <t>CUOTA SEG.SOCIAL 33,27%</t>
  </si>
  <si>
    <t xml:space="preserve">TABLAS RETRIBUTIVAS DEL PERSONAL INVESTIGADOR AÑO 2025      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</si>
  <si>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</t>
  </si>
  <si>
    <t>TABLAS RETRIBUTIVAS DEL PERSONAL INVESTIGADOR AÑO 2025</t>
  </si>
  <si>
    <t xml:space="preserve">TABLAS RETRIBUTIVAS DEL PERSONAL INVESTIGADOR AÑO 2025                                                                                                     </t>
  </si>
  <si>
    <t xml:space="preserve">TABLAS RETRIBUTIVAS DEL PERSONAL INVESTIGADOR AÑO 2025                                                                                                         </t>
  </si>
  <si>
    <r>
      <t xml:space="preserve">Según el RD 87/2025, el </t>
    </r>
    <r>
      <rPr>
        <b/>
        <sz val="9"/>
        <rFont val="Verdana"/>
        <family val="2"/>
      </rPr>
      <t xml:space="preserve">Salario Mínimo Interprofesional </t>
    </r>
    <r>
      <rPr>
        <sz val="9"/>
        <rFont val="Verdana"/>
        <family val="2"/>
      </rPr>
      <t xml:space="preserve">para 2025 queda fijado en </t>
    </r>
    <r>
      <rPr>
        <b/>
        <sz val="9"/>
        <rFont val="Verdana"/>
        <family val="2"/>
      </rPr>
      <t>1.381,33€/mes</t>
    </r>
    <r>
      <rPr>
        <sz val="9"/>
        <rFont val="Verdana"/>
        <family val="2"/>
      </rPr>
      <t xml:space="preserve"> a 12 pagas (1.184€/mes a 14 pagas), con efectos desde el 1 de enero de 2025.</t>
    </r>
  </si>
  <si>
    <r>
      <t xml:space="preserve">TABLAS 2025 CON INCREMENTO </t>
    </r>
    <r>
      <rPr>
        <b/>
        <sz val="10"/>
        <color rgb="FF000000"/>
        <rFont val="Verdana"/>
        <family val="2"/>
      </rPr>
      <t xml:space="preserve">0,48986% </t>
    </r>
    <r>
      <rPr>
        <sz val="10"/>
        <color rgb="FF000000"/>
        <rFont val="Verdana"/>
        <family val="2"/>
      </rPr>
      <t>sobre actuales a 01/07/2025</t>
    </r>
  </si>
  <si>
    <t>TABLAS 2025 sin incremento (1 julio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</si>
</sst>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i/>
      <u/>
      <sz val="10"/>
      <name val="Verdana"/>
      <family val="2"/>
    </font>
    <font>
      <sz val="10"/>
      <name val="Verdana"/>
      <family val="2"/>
    </font>
    <font>
      <b/>
      <sz val="11"/>
      <color rgb="FF00000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b/>
      <u/>
      <sz val="10"/>
      <name val="Verdana"/>
      <family val="2"/>
    </font>
    <font>
      <sz val="11"/>
      <color rgb="FF000000"/>
      <name val="Verdana"/>
      <family val="2"/>
    </font>
    <font>
      <sz val="1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sz val="9"/>
      <color rgb="FF0000CC"/>
      <name val="Verdana"/>
      <family val="2"/>
    </font>
    <font>
      <b/>
      <sz val="9"/>
      <color rgb="FF0033CC"/>
      <name val="Verdana"/>
      <family val="2"/>
    </font>
    <font>
      <sz val="9"/>
      <color rgb="FF0033CC"/>
      <name val="Verdana"/>
      <family val="2"/>
    </font>
    <font>
      <sz val="10"/>
      <color rgb="FF0033CC"/>
      <name val="Verdana"/>
      <family val="2"/>
    </font>
    <font>
      <i/>
      <sz val="10"/>
      <name val="Verdana"/>
      <family val="2"/>
    </font>
    <font>
      <b/>
      <sz val="10"/>
      <color rgb="FF0033CC"/>
      <name val="Verdana"/>
      <family val="2"/>
    </font>
    <font>
      <u/>
      <sz val="10"/>
      <color theme="10"/>
      <name val="Arial"/>
      <family val="2"/>
    </font>
    <font>
      <b/>
      <i/>
      <sz val="9"/>
      <color theme="0" tint="-0.34998626667073579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0000"/>
      <name val="Verdana"/>
      <family val="2"/>
    </font>
    <font>
      <b/>
      <sz val="11"/>
      <color rgb="FF0033CC"/>
      <name val="Verdana"/>
      <family val="2"/>
    </font>
    <font>
      <sz val="9.5"/>
      <name val="Verdana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ashed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dash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medium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2" fontId="4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Border="1" applyAlignment="1">
      <alignment vertical="center"/>
    </xf>
    <xf numFmtId="0" fontId="7" fillId="0" borderId="13" xfId="0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4" fontId="7" fillId="0" borderId="0" xfId="0" applyNumberFormat="1" applyFont="1"/>
    <xf numFmtId="0" fontId="9" fillId="0" borderId="18" xfId="0" applyFont="1" applyFill="1" applyBorder="1"/>
    <xf numFmtId="0" fontId="9" fillId="0" borderId="0" xfId="0" applyFont="1" applyFill="1" applyBorder="1"/>
    <xf numFmtId="0" fontId="7" fillId="0" borderId="0" xfId="0" applyFont="1" applyBorder="1"/>
    <xf numFmtId="2" fontId="9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6" fillId="2" borderId="4" xfId="0" applyFont="1" applyFill="1" applyBorder="1" applyAlignment="1">
      <alignment vertical="center"/>
    </xf>
    <xf numFmtId="0" fontId="9" fillId="0" borderId="0" xfId="0" applyFont="1"/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13" fillId="0" borderId="9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2" fontId="7" fillId="0" borderId="30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2" fontId="7" fillId="0" borderId="0" xfId="1" applyNumberFormat="1" applyFont="1" applyAlignment="1">
      <alignment horizontal="center"/>
    </xf>
    <xf numFmtId="164" fontId="7" fillId="0" borderId="0" xfId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31" xfId="1" applyNumberFormat="1" applyFont="1" applyBorder="1" applyAlignment="1">
      <alignment horizontal="center"/>
    </xf>
    <xf numFmtId="164" fontId="9" fillId="0" borderId="3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/>
    </xf>
    <xf numFmtId="164" fontId="9" fillId="0" borderId="32" xfId="1" applyFont="1" applyBorder="1" applyAlignment="1">
      <alignment horizontal="center"/>
    </xf>
    <xf numFmtId="0" fontId="19" fillId="0" borderId="34" xfId="0" applyFont="1" applyBorder="1" applyAlignment="1">
      <alignment vertical="center"/>
    </xf>
    <xf numFmtId="0" fontId="7" fillId="0" borderId="36" xfId="0" applyFont="1" applyFill="1" applyBorder="1" applyAlignment="1">
      <alignment horizontal="center"/>
    </xf>
    <xf numFmtId="2" fontId="7" fillId="0" borderId="36" xfId="1" applyNumberFormat="1" applyFont="1" applyBorder="1" applyAlignment="1">
      <alignment horizontal="center"/>
    </xf>
    <xf numFmtId="164" fontId="9" fillId="0" borderId="36" xfId="1" applyFont="1" applyBorder="1" applyAlignment="1">
      <alignment horizontal="center"/>
    </xf>
    <xf numFmtId="164" fontId="9" fillId="3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 wrapText="1" shrinkToFit="1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 shrinkToFit="1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9" fillId="0" borderId="31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 vertical="center" wrapText="1"/>
    </xf>
    <xf numFmtId="0" fontId="7" fillId="0" borderId="30" xfId="0" applyFont="1" applyFill="1" applyBorder="1"/>
    <xf numFmtId="0" fontId="7" fillId="0" borderId="31" xfId="0" applyFont="1" applyFill="1" applyBorder="1"/>
    <xf numFmtId="0" fontId="9" fillId="0" borderId="0" xfId="0" applyFont="1" applyBorder="1"/>
    <xf numFmtId="2" fontId="9" fillId="3" borderId="38" xfId="0" applyNumberFormat="1" applyFont="1" applyFill="1" applyBorder="1" applyAlignment="1">
      <alignment horizontal="center" vertical="center" wrapText="1"/>
    </xf>
    <xf numFmtId="2" fontId="7" fillId="3" borderId="3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9" fillId="3" borderId="38" xfId="0" applyNumberFormat="1" applyFont="1" applyFill="1" applyBorder="1" applyAlignment="1">
      <alignment horizontal="center" vertical="center" wrapText="1" shrinkToFit="1"/>
    </xf>
    <xf numFmtId="2" fontId="7" fillId="3" borderId="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right" wrapText="1"/>
    </xf>
    <xf numFmtId="2" fontId="7" fillId="0" borderId="0" xfId="1" applyNumberFormat="1" applyFont="1" applyAlignment="1">
      <alignment vertical="center"/>
    </xf>
    <xf numFmtId="2" fontId="8" fillId="0" borderId="0" xfId="1" applyNumberFormat="1" applyFont="1" applyBorder="1" applyAlignment="1">
      <alignment vertical="center"/>
    </xf>
    <xf numFmtId="2" fontId="7" fillId="0" borderId="16" xfId="1" applyNumberFormat="1" applyFont="1" applyFill="1" applyBorder="1" applyAlignment="1">
      <alignment vertical="center"/>
    </xf>
    <xf numFmtId="2" fontId="10" fillId="0" borderId="16" xfId="1" applyNumberFormat="1" applyFont="1" applyFill="1" applyBorder="1" applyAlignment="1">
      <alignment vertical="center"/>
    </xf>
    <xf numFmtId="2" fontId="9" fillId="0" borderId="12" xfId="1" applyNumberFormat="1" applyFont="1" applyFill="1" applyBorder="1"/>
    <xf numFmtId="2" fontId="7" fillId="0" borderId="0" xfId="1" applyNumberFormat="1" applyFont="1"/>
    <xf numFmtId="2" fontId="7" fillId="0" borderId="0" xfId="1" applyNumberFormat="1" applyFont="1" applyBorder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7" fillId="0" borderId="21" xfId="0" applyNumberFormat="1" applyFont="1" applyFill="1" applyBorder="1" applyAlignment="1">
      <alignment horizontal="right" wrapText="1"/>
    </xf>
    <xf numFmtId="2" fontId="7" fillId="0" borderId="0" xfId="0" applyNumberFormat="1" applyFont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2" fontId="7" fillId="0" borderId="22" xfId="1" applyNumberFormat="1" applyFont="1" applyBorder="1" applyAlignment="1">
      <alignment horizontal="right" wrapText="1"/>
    </xf>
    <xf numFmtId="2" fontId="9" fillId="0" borderId="8" xfId="1" applyNumberFormat="1" applyFont="1" applyBorder="1" applyAlignment="1">
      <alignment horizontal="right" wrapText="1"/>
    </xf>
    <xf numFmtId="2" fontId="9" fillId="0" borderId="23" xfId="1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 wrapText="1"/>
    </xf>
    <xf numFmtId="2" fontId="9" fillId="0" borderId="0" xfId="0" applyNumberFormat="1" applyFont="1" applyBorder="1" applyAlignment="1">
      <alignment horizontal="right" wrapText="1"/>
    </xf>
    <xf numFmtId="2" fontId="7" fillId="0" borderId="0" xfId="0" applyNumberFormat="1" applyFont="1" applyAlignment="1">
      <alignment horizontal="center"/>
    </xf>
    <xf numFmtId="2" fontId="15" fillId="0" borderId="16" xfId="1" applyNumberFormat="1" applyFont="1" applyBorder="1" applyAlignment="1">
      <alignment horizontal="center" vertical="center"/>
    </xf>
    <xf numFmtId="2" fontId="15" fillId="0" borderId="7" xfId="1" applyNumberFormat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2" fontId="20" fillId="0" borderId="16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center" wrapText="1"/>
    </xf>
    <xf numFmtId="0" fontId="26" fillId="0" borderId="6" xfId="0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0" fillId="0" borderId="0" xfId="0" applyFont="1" applyAlignment="1">
      <alignment horizontal="center" wrapText="1"/>
    </xf>
    <xf numFmtId="2" fontId="30" fillId="0" borderId="0" xfId="0" applyNumberFormat="1" applyFont="1"/>
    <xf numFmtId="0" fontId="30" fillId="0" borderId="0" xfId="0" applyFont="1"/>
    <xf numFmtId="0" fontId="30" fillId="0" borderId="0" xfId="0" applyFont="1" applyAlignment="1"/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1" fillId="0" borderId="21" xfId="0" applyFont="1" applyBorder="1" applyAlignment="1">
      <alignment vertical="center" wrapText="1"/>
    </xf>
    <xf numFmtId="8" fontId="31" fillId="0" borderId="21" xfId="0" applyNumberFormat="1" applyFont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1" xfId="0" applyFont="1" applyBorder="1" applyAlignment="1">
      <alignment horizontal="right" vertical="center"/>
    </xf>
    <xf numFmtId="8" fontId="32" fillId="2" borderId="6" xfId="2" applyNumberFormat="1" applyFont="1" applyFill="1" applyBorder="1" applyAlignment="1">
      <alignment vertical="center"/>
    </xf>
    <xf numFmtId="2" fontId="7" fillId="0" borderId="28" xfId="0" applyNumberFormat="1" applyFont="1" applyBorder="1" applyAlignment="1">
      <alignment horizontal="center" wrapText="1"/>
    </xf>
    <xf numFmtId="10" fontId="7" fillId="0" borderId="0" xfId="0" applyNumberFormat="1" applyFont="1" applyFill="1" applyBorder="1"/>
    <xf numFmtId="0" fontId="26" fillId="0" borderId="16" xfId="0" applyFont="1" applyBorder="1" applyAlignment="1">
      <alignment horizontal="center" vertical="center"/>
    </xf>
    <xf numFmtId="2" fontId="31" fillId="0" borderId="6" xfId="3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2" fontId="15" fillId="0" borderId="16" xfId="1" applyNumberFormat="1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2" fontId="9" fillId="3" borderId="44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8" fillId="4" borderId="24" xfId="0" applyFont="1" applyFill="1" applyBorder="1" applyAlignment="1">
      <alignment vertical="center"/>
    </xf>
    <xf numFmtId="2" fontId="9" fillId="4" borderId="25" xfId="0" applyNumberFormat="1" applyFont="1" applyFill="1" applyBorder="1" applyAlignment="1">
      <alignment horizontal="center" wrapText="1"/>
    </xf>
    <xf numFmtId="2" fontId="9" fillId="4" borderId="26" xfId="0" applyNumberFormat="1" applyFont="1" applyFill="1" applyBorder="1" applyAlignment="1">
      <alignment horizontal="center" wrapText="1"/>
    </xf>
    <xf numFmtId="0" fontId="8" fillId="4" borderId="2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164" fontId="9" fillId="0" borderId="31" xfId="1" applyFont="1" applyBorder="1" applyAlignment="1">
      <alignment horizontal="center" vertical="center"/>
    </xf>
    <xf numFmtId="164" fontId="7" fillId="0" borderId="31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48" xfId="1" applyFont="1" applyBorder="1" applyAlignment="1">
      <alignment horizontal="center"/>
    </xf>
    <xf numFmtId="44" fontId="7" fillId="0" borderId="0" xfId="0" applyNumberFormat="1" applyFont="1"/>
    <xf numFmtId="0" fontId="24" fillId="0" borderId="0" xfId="0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Border="1" applyAlignment="1">
      <alignment horizontal="center" vertical="center"/>
    </xf>
    <xf numFmtId="8" fontId="32" fillId="2" borderId="6" xfId="2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2" fontId="31" fillId="2" borderId="6" xfId="2" applyNumberFormat="1" applyFont="1" applyFill="1" applyBorder="1" applyAlignment="1">
      <alignment horizontal="center" vertical="center"/>
    </xf>
    <xf numFmtId="44" fontId="4" fillId="0" borderId="0" xfId="2" applyFont="1"/>
    <xf numFmtId="0" fontId="28" fillId="0" borderId="0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2" fontId="16" fillId="0" borderId="0" xfId="0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1" fontId="32" fillId="0" borderId="0" xfId="2" applyNumberFormat="1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164" fontId="7" fillId="0" borderId="50" xfId="1" applyFont="1" applyBorder="1" applyAlignment="1">
      <alignment horizontal="center"/>
    </xf>
    <xf numFmtId="164" fontId="7" fillId="0" borderId="51" xfId="1" applyFont="1" applyBorder="1" applyAlignment="1">
      <alignment horizontal="center"/>
    </xf>
    <xf numFmtId="164" fontId="9" fillId="0" borderId="53" xfId="1" applyFont="1" applyBorder="1" applyAlignment="1">
      <alignment horizontal="center" vertical="center"/>
    </xf>
    <xf numFmtId="164" fontId="9" fillId="0" borderId="52" xfId="1" applyFont="1" applyBorder="1" applyAlignment="1">
      <alignment horizontal="center" vertical="center"/>
    </xf>
    <xf numFmtId="164" fontId="7" fillId="0" borderId="53" xfId="1" applyFont="1" applyBorder="1" applyAlignment="1">
      <alignment horizontal="center"/>
    </xf>
    <xf numFmtId="164" fontId="7" fillId="0" borderId="54" xfId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vertical="center"/>
    </xf>
    <xf numFmtId="4" fontId="32" fillId="0" borderId="0" xfId="1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8" fontId="32" fillId="2" borderId="4" xfId="2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 shrinkToFit="1"/>
    </xf>
    <xf numFmtId="2" fontId="9" fillId="0" borderId="3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Alignment="1">
      <alignment vertical="center"/>
    </xf>
    <xf numFmtId="0" fontId="9" fillId="0" borderId="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7" fillId="0" borderId="32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 wrapText="1"/>
    </xf>
    <xf numFmtId="2" fontId="7" fillId="0" borderId="0" xfId="1" applyNumberFormat="1" applyFont="1" applyBorder="1" applyAlignment="1">
      <alignment horizontal="center" vertical="center"/>
    </xf>
    <xf numFmtId="164" fontId="9" fillId="0" borderId="4" xfId="1" applyFont="1" applyFill="1" applyBorder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4" fontId="32" fillId="2" borderId="6" xfId="2" applyFont="1" applyFill="1" applyBorder="1" applyAlignment="1">
      <alignment vertical="center"/>
    </xf>
    <xf numFmtId="2" fontId="9" fillId="0" borderId="3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2" fontId="7" fillId="0" borderId="2" xfId="1" applyNumberFormat="1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left"/>
    </xf>
    <xf numFmtId="0" fontId="26" fillId="0" borderId="6" xfId="0" applyFont="1" applyBorder="1" applyAlignment="1">
      <alignment horizontal="left" vertical="center" wrapText="1"/>
    </xf>
    <xf numFmtId="8" fontId="7" fillId="0" borderId="6" xfId="2" applyNumberFormat="1" applyFont="1" applyFill="1" applyBorder="1" applyAlignment="1">
      <alignment horizontal="center" vertical="center"/>
    </xf>
    <xf numFmtId="8" fontId="4" fillId="0" borderId="0" xfId="0" applyNumberFormat="1" applyFont="1"/>
    <xf numFmtId="0" fontId="21" fillId="5" borderId="13" xfId="0" applyFont="1" applyFill="1" applyBorder="1" applyAlignment="1">
      <alignment vertical="center"/>
    </xf>
    <xf numFmtId="2" fontId="7" fillId="5" borderId="16" xfId="1" applyNumberFormat="1" applyFont="1" applyFill="1" applyBorder="1" applyAlignment="1">
      <alignment vertical="center"/>
    </xf>
    <xf numFmtId="2" fontId="21" fillId="0" borderId="0" xfId="1" applyNumberFormat="1" applyFont="1"/>
    <xf numFmtId="4" fontId="39" fillId="0" borderId="1" xfId="0" applyNumberFormat="1" applyFont="1" applyBorder="1" applyAlignment="1">
      <alignment horizontal="right"/>
    </xf>
    <xf numFmtId="4" fontId="40" fillId="0" borderId="1" xfId="0" applyNumberFormat="1" applyFont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0" fontId="27" fillId="2" borderId="4" xfId="0" applyFont="1" applyFill="1" applyBorder="1" applyAlignment="1">
      <alignment horizontal="right" vertical="center" wrapText="1"/>
    </xf>
    <xf numFmtId="0" fontId="27" fillId="2" borderId="14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33" fillId="0" borderId="0" xfId="4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3" xfId="0" applyNumberFormat="1" applyFont="1" applyBorder="1" applyAlignment="1">
      <alignment horizontal="center" vertical="center" wrapText="1"/>
    </xf>
    <xf numFmtId="2" fontId="31" fillId="0" borderId="7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2" fontId="31" fillId="0" borderId="7" xfId="3" applyNumberFormat="1" applyFont="1" applyBorder="1" applyAlignment="1">
      <alignment horizontal="center" vertical="center"/>
    </xf>
    <xf numFmtId="2" fontId="31" fillId="0" borderId="3" xfId="3" applyNumberFormat="1" applyFont="1" applyBorder="1" applyAlignment="1">
      <alignment horizontal="center" vertical="center"/>
    </xf>
    <xf numFmtId="8" fontId="31" fillId="0" borderId="7" xfId="0" applyNumberFormat="1" applyFont="1" applyBorder="1" applyAlignment="1">
      <alignment horizontal="right" vertical="center"/>
    </xf>
    <xf numFmtId="8" fontId="31" fillId="0" borderId="3" xfId="0" applyNumberFormat="1" applyFont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 wrapText="1"/>
    </xf>
    <xf numFmtId="1" fontId="32" fillId="2" borderId="11" xfId="2" applyNumberFormat="1" applyFont="1" applyFill="1" applyBorder="1" applyAlignment="1">
      <alignment horizontal="center" vertical="center"/>
    </xf>
    <xf numFmtId="1" fontId="32" fillId="2" borderId="12" xfId="2" applyNumberFormat="1" applyFont="1" applyFill="1" applyBorder="1" applyAlignment="1">
      <alignment horizontal="center" vertical="center"/>
    </xf>
    <xf numFmtId="44" fontId="32" fillId="2" borderId="11" xfId="2" applyFont="1" applyFill="1" applyBorder="1" applyAlignment="1">
      <alignment horizontal="center" vertical="center"/>
    </xf>
    <xf numFmtId="44" fontId="32" fillId="2" borderId="12" xfId="2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8" fontId="31" fillId="0" borderId="7" xfId="0" applyNumberFormat="1" applyFont="1" applyBorder="1" applyAlignment="1">
      <alignment horizontal="center" vertical="center"/>
    </xf>
    <xf numFmtId="8" fontId="31" fillId="0" borderId="3" xfId="0" applyNumberFormat="1" applyFont="1" applyBorder="1" applyAlignment="1">
      <alignment horizontal="center" vertical="center"/>
    </xf>
    <xf numFmtId="2" fontId="31" fillId="0" borderId="39" xfId="3" applyNumberFormat="1" applyFont="1" applyBorder="1" applyAlignment="1">
      <alignment horizontal="center" vertical="center"/>
    </xf>
    <xf numFmtId="2" fontId="31" fillId="0" borderId="40" xfId="3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8" fontId="31" fillId="0" borderId="11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0" fontId="24" fillId="0" borderId="9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27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4" fontId="25" fillId="0" borderId="38" xfId="0" applyNumberFormat="1" applyFont="1" applyFill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1" fontId="32" fillId="2" borderId="7" xfId="2" applyNumberFormat="1" applyFont="1" applyFill="1" applyBorder="1" applyAlignment="1">
      <alignment horizontal="center" vertical="center"/>
    </xf>
    <xf numFmtId="1" fontId="32" fillId="2" borderId="3" xfId="2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164" fontId="17" fillId="0" borderId="34" xfId="1" applyFont="1" applyFill="1" applyBorder="1" applyAlignment="1">
      <alignment horizontal="center" vertical="center" wrapText="1"/>
    </xf>
    <xf numFmtId="164" fontId="17" fillId="0" borderId="35" xfId="1" applyFont="1" applyFill="1" applyBorder="1" applyAlignment="1">
      <alignment horizontal="center" vertical="center" wrapText="1"/>
    </xf>
    <xf numFmtId="2" fontId="17" fillId="0" borderId="34" xfId="1" applyNumberFormat="1" applyFont="1" applyFill="1" applyBorder="1" applyAlignment="1">
      <alignment horizontal="center" vertical="center" wrapText="1"/>
    </xf>
    <xf numFmtId="2" fontId="17" fillId="0" borderId="35" xfId="1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33" fillId="0" borderId="0" xfId="4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8" fontId="31" fillId="0" borderId="10" xfId="0" applyNumberFormat="1" applyFont="1" applyBorder="1" applyAlignment="1">
      <alignment horizontal="center" vertical="center"/>
    </xf>
    <xf numFmtId="8" fontId="31" fillId="0" borderId="18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 wrapText="1"/>
    </xf>
    <xf numFmtId="2" fontId="17" fillId="0" borderId="29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2" fontId="35" fillId="0" borderId="7" xfId="0" applyNumberFormat="1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justify" vertical="center" wrapText="1"/>
    </xf>
    <xf numFmtId="0" fontId="22" fillId="4" borderId="14" xfId="0" applyFont="1" applyFill="1" applyBorder="1" applyAlignment="1">
      <alignment horizontal="justify" vertical="center" wrapText="1"/>
    </xf>
    <xf numFmtId="0" fontId="22" fillId="4" borderId="5" xfId="0" applyFont="1" applyFill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2" fontId="20" fillId="0" borderId="7" xfId="0" applyNumberFormat="1" applyFont="1" applyBorder="1" applyAlignment="1">
      <alignment horizontal="right" vertical="center" wrapText="1"/>
    </xf>
    <xf numFmtId="2" fontId="21" fillId="0" borderId="2" xfId="0" applyNumberFormat="1" applyFont="1" applyBorder="1" applyAlignment="1">
      <alignment horizontal="right" vertical="center" wrapText="1"/>
    </xf>
    <xf numFmtId="2" fontId="20" fillId="0" borderId="2" xfId="0" applyNumberFormat="1" applyFont="1" applyBorder="1" applyAlignment="1">
      <alignment horizontal="right" vertical="center" wrapText="1"/>
    </xf>
    <xf numFmtId="2" fontId="20" fillId="0" borderId="3" xfId="0" applyNumberFormat="1" applyFont="1" applyBorder="1" applyAlignment="1">
      <alignment horizontal="right" vertical="center" wrapText="1"/>
    </xf>
    <xf numFmtId="2" fontId="21" fillId="0" borderId="16" xfId="0" applyNumberFormat="1" applyFont="1" applyBorder="1" applyAlignment="1">
      <alignment horizontal="right" wrapText="1"/>
    </xf>
    <xf numFmtId="2" fontId="21" fillId="0" borderId="12" xfId="0" applyNumberFormat="1" applyFont="1" applyBorder="1" applyAlignment="1">
      <alignment horizontal="right" wrapText="1"/>
    </xf>
    <xf numFmtId="2" fontId="20" fillId="0" borderId="13" xfId="0" applyNumberFormat="1" applyFont="1" applyBorder="1" applyAlignment="1">
      <alignment horizontal="right" vertical="center" wrapText="1"/>
    </xf>
    <xf numFmtId="2" fontId="20" fillId="0" borderId="1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8" fillId="4" borderId="4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15" fillId="0" borderId="2" xfId="0" applyNumberFormat="1" applyFont="1" applyBorder="1" applyAlignment="1">
      <alignment horizontal="right"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13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5" fillId="0" borderId="0" xfId="0" applyFont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2" fontId="7" fillId="0" borderId="16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0C0C0"/>
      <color rgb="FF0033CC"/>
      <color rgb="FF0000CC"/>
      <color rgb="FF0000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INDEMNIZACION%2012%20DIAS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\\discodered.umhnet.es\qy_serviciopas$\pic\CONVOCATORIAS%20DE%20INVESTIGACION\CONVOCATORIA%20INVESTIGACION\AA_INDEMNIZACIONES%20para%20abono%20y%20reclamaciones\CALCULO%20RC.xls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A4" zoomScale="96" zoomScaleNormal="96" workbookViewId="0">
      <selection activeCell="J19" sqref="J19"/>
    </sheetView>
  </sheetViews>
  <sheetFormatPr baseColWidth="10" defaultColWidth="11.5703125" defaultRowHeight="12.75" x14ac:dyDescent="0.2"/>
  <cols>
    <col min="1" max="1" width="15" style="33" customWidth="1"/>
    <col min="2" max="2" width="21.28515625" style="33" customWidth="1"/>
    <col min="3" max="3" width="16.5703125" style="33" hidden="1" customWidth="1"/>
    <col min="4" max="4" width="15.5703125" style="116" customWidth="1"/>
    <col min="5" max="5" width="18.28515625" style="8" customWidth="1"/>
    <col min="6" max="6" width="24.7109375" style="8" customWidth="1"/>
    <col min="7" max="7" width="18.42578125" style="8" customWidth="1"/>
    <col min="8" max="8" width="11.5703125" style="8"/>
    <col min="9" max="9" width="19.7109375" style="35" customWidth="1"/>
    <col min="10" max="10" width="19.42578125" style="19" customWidth="1"/>
    <col min="11" max="11" width="18.7109375" style="8" customWidth="1"/>
    <col min="12" max="12" width="20.42578125" style="115" customWidth="1"/>
    <col min="13" max="13" width="16" style="8" customWidth="1"/>
    <col min="14" max="16384" width="11.5703125" style="8"/>
  </cols>
  <sheetData>
    <row r="1" spans="1:13" ht="40.9" customHeight="1" x14ac:dyDescent="0.2">
      <c r="A1" s="264" t="s">
        <v>107</v>
      </c>
      <c r="B1" s="265"/>
      <c r="C1" s="265"/>
      <c r="D1" s="265"/>
      <c r="E1" s="265"/>
      <c r="F1" s="265"/>
      <c r="G1" s="265"/>
      <c r="I1" s="260" t="s">
        <v>115</v>
      </c>
      <c r="J1" s="261"/>
      <c r="K1" s="261"/>
      <c r="L1" s="261"/>
      <c r="M1" s="262"/>
    </row>
    <row r="2" spans="1:13" s="36" customFormat="1" ht="28.5" customHeight="1" x14ac:dyDescent="0.2">
      <c r="A2" s="44"/>
      <c r="B2" s="270" t="s">
        <v>47</v>
      </c>
      <c r="C2" s="270"/>
      <c r="D2" s="270"/>
      <c r="E2" s="42"/>
      <c r="F2" s="270" t="s">
        <v>48</v>
      </c>
      <c r="G2" s="271"/>
      <c r="I2" s="266" t="s">
        <v>50</v>
      </c>
      <c r="J2" s="266"/>
      <c r="K2" s="266"/>
      <c r="L2" s="266" t="s">
        <v>54</v>
      </c>
      <c r="M2" s="266"/>
    </row>
    <row r="3" spans="1:13" s="27" customFormat="1" ht="38.25" x14ac:dyDescent="0.2">
      <c r="A3" s="43" t="s">
        <v>45</v>
      </c>
      <c r="B3" s="40" t="s">
        <v>46</v>
      </c>
      <c r="C3" s="40" t="s">
        <v>51</v>
      </c>
      <c r="D3" s="188" t="s">
        <v>108</v>
      </c>
      <c r="E3" s="40" t="s">
        <v>45</v>
      </c>
      <c r="F3" s="40" t="s">
        <v>46</v>
      </c>
      <c r="G3" s="41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3" ht="16.5" customHeight="1" x14ac:dyDescent="0.2">
      <c r="A4" s="37">
        <v>37.5</v>
      </c>
      <c r="B4" s="45">
        <f>PARAMETROS!B2</f>
        <v>2813.5430978715499</v>
      </c>
      <c r="C4" s="45"/>
      <c r="D4" s="131"/>
      <c r="E4" s="37">
        <v>37.5</v>
      </c>
      <c r="F4" s="45">
        <f>PARAMETROS!C2</f>
        <v>3657.6052484366</v>
      </c>
      <c r="G4" s="45">
        <f>IF(F4&gt;=$K$4,$K$4*$K$18%,F4*$K$18%)</f>
        <v>1216.8852661548567</v>
      </c>
      <c r="I4" s="267">
        <v>1</v>
      </c>
      <c r="J4" s="268">
        <v>1929</v>
      </c>
      <c r="K4" s="268">
        <v>4909.5</v>
      </c>
      <c r="L4" s="272">
        <v>1381.2</v>
      </c>
      <c r="M4" s="268">
        <v>4909.5</v>
      </c>
    </row>
    <row r="5" spans="1:13" ht="16.5" customHeight="1" x14ac:dyDescent="0.2">
      <c r="A5" s="38">
        <v>36</v>
      </c>
      <c r="B5" s="46">
        <f>(PRODUCT(B$4,A5)/A$4)</f>
        <v>2701.0013739566875</v>
      </c>
      <c r="C5" s="189">
        <f>((A5/$A$4*7.5*5)/7)*30*$D$43</f>
        <v>1792.8000000000002</v>
      </c>
      <c r="D5" s="131">
        <f t="shared" ref="D5:D40" si="0">IF(B5&lt;C5,C5*$K$18%,B5*$K$18%)</f>
        <v>898.62315711538974</v>
      </c>
      <c r="E5" s="38">
        <v>36</v>
      </c>
      <c r="F5" s="46">
        <f t="shared" ref="F5:F40" si="1">PRODUCT(F$4,E5)/E$4</f>
        <v>3511.3010384991362</v>
      </c>
      <c r="G5" s="46">
        <f t="shared" ref="G5:G40" si="2">IF(F5&gt;=$K$4,$K$4*$K$18%,F5*$K$18%)</f>
        <v>1168.2098555086625</v>
      </c>
      <c r="I5" s="267"/>
      <c r="J5" s="269"/>
      <c r="K5" s="269"/>
      <c r="L5" s="273"/>
      <c r="M5" s="269"/>
    </row>
    <row r="6" spans="1:13" ht="16.5" customHeight="1" x14ac:dyDescent="0.2">
      <c r="A6" s="38">
        <v>35</v>
      </c>
      <c r="B6" s="46">
        <f t="shared" ref="B6:B40" si="3">(PRODUCT(B$4,A6)/A$4)</f>
        <v>2625.9735580134466</v>
      </c>
      <c r="C6" s="189">
        <f t="shared" ref="C6:C40" si="4">((A6/A$4*7.5*5)/7)*30*$D$43</f>
        <v>1742.9999999999998</v>
      </c>
      <c r="D6" s="131">
        <f t="shared" si="0"/>
        <v>873.66140275107352</v>
      </c>
      <c r="E6" s="38">
        <v>35</v>
      </c>
      <c r="F6" s="46">
        <f t="shared" si="1"/>
        <v>3413.7648985408264</v>
      </c>
      <c r="G6" s="46">
        <f t="shared" si="2"/>
        <v>1135.7595817445326</v>
      </c>
      <c r="J6" s="8"/>
    </row>
    <row r="7" spans="1:13" ht="16.5" customHeight="1" thickBot="1" x14ac:dyDescent="0.25">
      <c r="A7" s="38">
        <v>34</v>
      </c>
      <c r="B7" s="46">
        <f t="shared" si="3"/>
        <v>2550.9457420702051</v>
      </c>
      <c r="C7" s="189">
        <f t="shared" si="4"/>
        <v>1693.1999999999996</v>
      </c>
      <c r="D7" s="131">
        <f t="shared" si="0"/>
        <v>848.69964838675708</v>
      </c>
      <c r="E7" s="38">
        <v>34</v>
      </c>
      <c r="F7" s="46">
        <f t="shared" si="1"/>
        <v>3316.2287585825175</v>
      </c>
      <c r="G7" s="46">
        <f t="shared" si="2"/>
        <v>1103.3093079804034</v>
      </c>
    </row>
    <row r="8" spans="1:13" ht="16.5" customHeight="1" x14ac:dyDescent="0.2">
      <c r="A8" s="38">
        <v>33</v>
      </c>
      <c r="B8" s="46">
        <f t="shared" si="3"/>
        <v>2475.9179261269637</v>
      </c>
      <c r="C8" s="189">
        <f t="shared" si="4"/>
        <v>1643.4</v>
      </c>
      <c r="D8" s="131">
        <f t="shared" si="0"/>
        <v>823.73789402244063</v>
      </c>
      <c r="E8" s="38">
        <v>33</v>
      </c>
      <c r="F8" s="46">
        <f t="shared" si="1"/>
        <v>3218.6926186242081</v>
      </c>
      <c r="G8" s="46">
        <f t="shared" si="2"/>
        <v>1070.8590342162738</v>
      </c>
      <c r="I8" s="237" t="s">
        <v>87</v>
      </c>
      <c r="J8" s="237"/>
      <c r="K8" s="238"/>
      <c r="L8" s="276">
        <v>0</v>
      </c>
    </row>
    <row r="9" spans="1:13" ht="16.5" customHeight="1" thickBot="1" x14ac:dyDescent="0.25">
      <c r="A9" s="38">
        <v>32</v>
      </c>
      <c r="B9" s="46">
        <f t="shared" si="3"/>
        <v>2400.8901101837228</v>
      </c>
      <c r="C9" s="189">
        <f t="shared" si="4"/>
        <v>1593.6</v>
      </c>
      <c r="D9" s="131">
        <f t="shared" si="0"/>
        <v>798.77613965812441</v>
      </c>
      <c r="E9" s="38">
        <v>32</v>
      </c>
      <c r="F9" s="46">
        <f t="shared" si="1"/>
        <v>3121.1564786658987</v>
      </c>
      <c r="G9" s="46">
        <f t="shared" si="2"/>
        <v>1038.4087604521444</v>
      </c>
      <c r="I9" s="237"/>
      <c r="J9" s="237"/>
      <c r="K9" s="238"/>
      <c r="L9" s="277"/>
    </row>
    <row r="10" spans="1:13" ht="16.5" customHeight="1" thickBot="1" x14ac:dyDescent="0.25">
      <c r="A10" s="38">
        <v>31</v>
      </c>
      <c r="B10" s="46">
        <f t="shared" si="3"/>
        <v>2325.8622942404813</v>
      </c>
      <c r="C10" s="189">
        <f t="shared" si="4"/>
        <v>1543.8</v>
      </c>
      <c r="D10" s="131">
        <f t="shared" si="0"/>
        <v>773.81438529380796</v>
      </c>
      <c r="E10" s="38">
        <v>31</v>
      </c>
      <c r="F10" s="46">
        <f t="shared" si="1"/>
        <v>3023.6203387075893</v>
      </c>
      <c r="G10" s="46">
        <f t="shared" si="2"/>
        <v>1005.9584866880148</v>
      </c>
      <c r="I10" s="120"/>
      <c r="J10" s="121"/>
      <c r="K10" s="122"/>
      <c r="L10" s="123"/>
    </row>
    <row r="11" spans="1:13" ht="16.5" customHeight="1" x14ac:dyDescent="0.2">
      <c r="A11" s="38">
        <v>30</v>
      </c>
      <c r="B11" s="46">
        <f t="shared" si="3"/>
        <v>2250.8344782972399</v>
      </c>
      <c r="C11" s="189">
        <f t="shared" si="4"/>
        <v>1493.9999999999998</v>
      </c>
      <c r="D11" s="131">
        <f t="shared" si="0"/>
        <v>748.85263092949162</v>
      </c>
      <c r="E11" s="38">
        <v>30</v>
      </c>
      <c r="F11" s="46">
        <f t="shared" si="1"/>
        <v>2926.0841987492799</v>
      </c>
      <c r="G11" s="46">
        <f t="shared" si="2"/>
        <v>973.50821292388525</v>
      </c>
      <c r="I11" s="243" t="s">
        <v>62</v>
      </c>
      <c r="J11" s="244"/>
      <c r="K11" s="244"/>
      <c r="L11" s="245"/>
    </row>
    <row r="12" spans="1:13" ht="16.5" customHeight="1" thickBot="1" x14ac:dyDescent="0.25">
      <c r="A12" s="38">
        <v>29</v>
      </c>
      <c r="B12" s="46">
        <f t="shared" si="3"/>
        <v>2175.8066623539985</v>
      </c>
      <c r="C12" s="189">
        <f t="shared" si="4"/>
        <v>1444.2</v>
      </c>
      <c r="D12" s="131">
        <f t="shared" si="0"/>
        <v>723.89087656517518</v>
      </c>
      <c r="E12" s="38">
        <v>29</v>
      </c>
      <c r="F12" s="46">
        <f t="shared" si="1"/>
        <v>2828.548058790971</v>
      </c>
      <c r="G12" s="46">
        <f t="shared" si="2"/>
        <v>941.05793915975585</v>
      </c>
      <c r="I12" s="246"/>
      <c r="J12" s="247"/>
      <c r="K12" s="247"/>
      <c r="L12" s="248"/>
    </row>
    <row r="13" spans="1:13" ht="16.5" customHeight="1" thickBot="1" x14ac:dyDescent="0.25">
      <c r="A13" s="38">
        <v>28</v>
      </c>
      <c r="B13" s="46">
        <f t="shared" si="3"/>
        <v>2100.7788464107575</v>
      </c>
      <c r="C13" s="189">
        <f t="shared" si="4"/>
        <v>1394.4000000000003</v>
      </c>
      <c r="D13" s="131">
        <f t="shared" si="0"/>
        <v>698.92912220085896</v>
      </c>
      <c r="E13" s="38">
        <v>28</v>
      </c>
      <c r="F13" s="46">
        <f t="shared" si="1"/>
        <v>2731.0119188326612</v>
      </c>
      <c r="G13" s="46">
        <f t="shared" si="2"/>
        <v>908.60766539562621</v>
      </c>
      <c r="I13" s="117"/>
      <c r="J13" s="118" t="s">
        <v>55</v>
      </c>
      <c r="K13" s="133" t="s">
        <v>56</v>
      </c>
      <c r="L13" s="119" t="s">
        <v>57</v>
      </c>
    </row>
    <row r="14" spans="1:13" ht="16.5" customHeight="1" x14ac:dyDescent="0.2">
      <c r="A14" s="38">
        <v>27</v>
      </c>
      <c r="B14" s="46">
        <f t="shared" si="3"/>
        <v>2025.7510304675159</v>
      </c>
      <c r="C14" s="189">
        <f t="shared" si="4"/>
        <v>1344.6</v>
      </c>
      <c r="D14" s="131">
        <f t="shared" si="0"/>
        <v>673.96736783654239</v>
      </c>
      <c r="E14" s="38">
        <v>27</v>
      </c>
      <c r="F14" s="46">
        <f t="shared" si="1"/>
        <v>2633.4757788743523</v>
      </c>
      <c r="G14" s="46">
        <f t="shared" si="2"/>
        <v>876.15739163149681</v>
      </c>
      <c r="I14" s="249" t="s">
        <v>58</v>
      </c>
      <c r="J14" s="251">
        <f>IF(L8&gt;=J4,L8,J4)</f>
        <v>1929</v>
      </c>
      <c r="K14" s="253">
        <v>24.27</v>
      </c>
      <c r="L14" s="258">
        <f>J14*K14%</f>
        <v>468.16829999999999</v>
      </c>
    </row>
    <row r="15" spans="1:13" ht="16.5" customHeight="1" thickBot="1" x14ac:dyDescent="0.25">
      <c r="A15" s="38">
        <v>26</v>
      </c>
      <c r="B15" s="46">
        <f t="shared" si="3"/>
        <v>1950.7232145242747</v>
      </c>
      <c r="C15" s="189">
        <f t="shared" si="4"/>
        <v>1294.8</v>
      </c>
      <c r="D15" s="131">
        <f t="shared" si="0"/>
        <v>649.00561347222606</v>
      </c>
      <c r="E15" s="38">
        <v>26</v>
      </c>
      <c r="F15" s="46">
        <f t="shared" si="1"/>
        <v>2535.9396389160424</v>
      </c>
      <c r="G15" s="46">
        <f t="shared" si="2"/>
        <v>843.70711786736717</v>
      </c>
      <c r="I15" s="250"/>
      <c r="J15" s="252"/>
      <c r="K15" s="254"/>
      <c r="L15" s="259"/>
    </row>
    <row r="16" spans="1:13" ht="16.5" customHeight="1" x14ac:dyDescent="0.2">
      <c r="A16" s="38">
        <v>25</v>
      </c>
      <c r="B16" s="46">
        <f t="shared" si="3"/>
        <v>1875.6953985810335</v>
      </c>
      <c r="C16" s="189">
        <f t="shared" si="4"/>
        <v>1245</v>
      </c>
      <c r="D16" s="131">
        <f t="shared" si="0"/>
        <v>624.04385910790973</v>
      </c>
      <c r="E16" s="38">
        <v>25</v>
      </c>
      <c r="F16" s="46">
        <f t="shared" si="1"/>
        <v>2438.4034989577335</v>
      </c>
      <c r="G16" s="46">
        <f t="shared" si="2"/>
        <v>811.25684410323777</v>
      </c>
      <c r="I16" s="256" t="s">
        <v>59</v>
      </c>
      <c r="J16" s="251">
        <f>IF(L8&gt;=L4,L8,L4)</f>
        <v>1381.2</v>
      </c>
      <c r="K16" s="253">
        <v>9</v>
      </c>
      <c r="L16" s="235">
        <f>J16*K16%</f>
        <v>124.30799999999999</v>
      </c>
    </row>
    <row r="17" spans="1:14" ht="16.5" customHeight="1" thickBot="1" x14ac:dyDescent="0.25">
      <c r="A17" s="38">
        <v>24</v>
      </c>
      <c r="B17" s="46">
        <f t="shared" si="3"/>
        <v>1800.6675826377918</v>
      </c>
      <c r="C17" s="189">
        <f t="shared" si="4"/>
        <v>1195.1999999999998</v>
      </c>
      <c r="D17" s="131">
        <f t="shared" si="0"/>
        <v>599.08210474359328</v>
      </c>
      <c r="E17" s="38">
        <v>24</v>
      </c>
      <c r="F17" s="46">
        <f t="shared" si="1"/>
        <v>2340.8673589994237</v>
      </c>
      <c r="G17" s="46">
        <f t="shared" si="2"/>
        <v>778.80657033910813</v>
      </c>
      <c r="I17" s="257"/>
      <c r="J17" s="252"/>
      <c r="K17" s="254">
        <v>0.2</v>
      </c>
      <c r="L17" s="255"/>
    </row>
    <row r="18" spans="1:14" ht="16.5" customHeight="1" thickBot="1" x14ac:dyDescent="0.25">
      <c r="A18" s="38">
        <v>23</v>
      </c>
      <c r="B18" s="46">
        <f t="shared" si="3"/>
        <v>1725.6397666945506</v>
      </c>
      <c r="C18" s="189">
        <f t="shared" si="4"/>
        <v>1145.3999999999999</v>
      </c>
      <c r="D18" s="131">
        <f t="shared" si="0"/>
        <v>574.12035037927694</v>
      </c>
      <c r="E18" s="38">
        <v>23</v>
      </c>
      <c r="F18" s="46">
        <f t="shared" si="1"/>
        <v>2243.3312190411148</v>
      </c>
      <c r="G18" s="46">
        <f t="shared" si="2"/>
        <v>746.35629657497873</v>
      </c>
      <c r="I18" s="274" t="s">
        <v>63</v>
      </c>
      <c r="J18" s="275"/>
      <c r="K18" s="134">
        <f>(K14+K16)</f>
        <v>33.269999999999996</v>
      </c>
      <c r="L18" s="130">
        <f>SUM(L14:L17)</f>
        <v>592.47630000000004</v>
      </c>
    </row>
    <row r="19" spans="1:14" ht="16.5" customHeight="1" x14ac:dyDescent="0.2">
      <c r="A19" s="38">
        <v>22</v>
      </c>
      <c r="B19" s="46">
        <f t="shared" si="3"/>
        <v>1650.6119507513092</v>
      </c>
      <c r="C19" s="189">
        <f t="shared" si="4"/>
        <v>1095.5999999999999</v>
      </c>
      <c r="D19" s="131">
        <f t="shared" si="0"/>
        <v>549.15859601496049</v>
      </c>
      <c r="E19" s="38">
        <v>22</v>
      </c>
      <c r="F19" s="46">
        <f t="shared" si="1"/>
        <v>2145.7950790828054</v>
      </c>
      <c r="G19" s="46">
        <f t="shared" si="2"/>
        <v>713.90602281084921</v>
      </c>
      <c r="I19" s="126"/>
      <c r="J19" s="127"/>
      <c r="K19" s="128"/>
      <c r="L19" s="129"/>
    </row>
    <row r="20" spans="1:14" ht="16.5" customHeight="1" x14ac:dyDescent="0.2">
      <c r="A20" s="38">
        <v>21</v>
      </c>
      <c r="B20" s="46">
        <f t="shared" si="3"/>
        <v>1575.5841348080678</v>
      </c>
      <c r="C20" s="189">
        <f t="shared" si="4"/>
        <v>1045.8</v>
      </c>
      <c r="D20" s="131">
        <f t="shared" si="0"/>
        <v>524.19684165064405</v>
      </c>
      <c r="E20" s="38">
        <v>21</v>
      </c>
      <c r="F20" s="46">
        <f t="shared" si="1"/>
        <v>2048.258939124496</v>
      </c>
      <c r="G20" s="46">
        <f t="shared" si="2"/>
        <v>681.45574904671969</v>
      </c>
      <c r="I20" s="263" t="s">
        <v>77</v>
      </c>
      <c r="J20" s="263"/>
      <c r="K20" s="263"/>
      <c r="L20" s="263"/>
      <c r="M20" s="263"/>
      <c r="N20" s="147"/>
    </row>
    <row r="21" spans="1:14" ht="16.5" customHeight="1" x14ac:dyDescent="0.2">
      <c r="A21" s="38">
        <v>20</v>
      </c>
      <c r="B21" s="46">
        <f t="shared" si="3"/>
        <v>1500.5563188648266</v>
      </c>
      <c r="C21" s="189">
        <f t="shared" si="4"/>
        <v>996</v>
      </c>
      <c r="D21" s="131">
        <f t="shared" si="0"/>
        <v>499.23508728632771</v>
      </c>
      <c r="E21" s="38">
        <v>20</v>
      </c>
      <c r="F21" s="46">
        <f t="shared" si="1"/>
        <v>1950.7227991661869</v>
      </c>
      <c r="G21" s="46">
        <f t="shared" si="2"/>
        <v>649.00547528259028</v>
      </c>
      <c r="I21" s="263"/>
      <c r="J21" s="263"/>
      <c r="K21" s="263"/>
      <c r="L21" s="263"/>
      <c r="M21" s="263"/>
      <c r="N21" s="147"/>
    </row>
    <row r="22" spans="1:14" ht="16.5" customHeight="1" thickBot="1" x14ac:dyDescent="0.25">
      <c r="A22" s="38">
        <v>19</v>
      </c>
      <c r="B22" s="46">
        <f t="shared" si="3"/>
        <v>1425.5285029215852</v>
      </c>
      <c r="C22" s="189">
        <f t="shared" si="4"/>
        <v>946.19999999999993</v>
      </c>
      <c r="D22" s="131">
        <f t="shared" si="0"/>
        <v>474.27333292201132</v>
      </c>
      <c r="E22" s="38">
        <v>19</v>
      </c>
      <c r="F22" s="46">
        <f t="shared" si="1"/>
        <v>1853.1866592078773</v>
      </c>
      <c r="G22" s="46">
        <f t="shared" si="2"/>
        <v>616.55520151846065</v>
      </c>
    </row>
    <row r="23" spans="1:14" ht="16.5" customHeight="1" x14ac:dyDescent="0.2">
      <c r="A23" s="38">
        <v>18</v>
      </c>
      <c r="B23" s="46">
        <f t="shared" si="3"/>
        <v>1350.5006869783438</v>
      </c>
      <c r="C23" s="189">
        <f t="shared" si="4"/>
        <v>896.40000000000009</v>
      </c>
      <c r="D23" s="131">
        <f t="shared" si="0"/>
        <v>449.31157855769487</v>
      </c>
      <c r="E23" s="38">
        <v>18</v>
      </c>
      <c r="F23" s="46">
        <f t="shared" si="1"/>
        <v>1755.6505192495681</v>
      </c>
      <c r="G23" s="46">
        <f t="shared" si="2"/>
        <v>584.10492775433124</v>
      </c>
      <c r="I23" s="237" t="s">
        <v>64</v>
      </c>
      <c r="J23" s="237"/>
      <c r="K23" s="238"/>
      <c r="L23" s="239">
        <v>0</v>
      </c>
    </row>
    <row r="24" spans="1:14" ht="16.5" customHeight="1" thickBot="1" x14ac:dyDescent="0.25">
      <c r="A24" s="38">
        <v>17</v>
      </c>
      <c r="B24" s="46">
        <f t="shared" si="3"/>
        <v>1275.4728710351026</v>
      </c>
      <c r="C24" s="189">
        <f t="shared" si="4"/>
        <v>846.5999999999998</v>
      </c>
      <c r="D24" s="131">
        <f t="shared" si="0"/>
        <v>424.34982419337854</v>
      </c>
      <c r="E24" s="38">
        <v>17</v>
      </c>
      <c r="F24" s="46">
        <f t="shared" si="1"/>
        <v>1658.1143792912587</v>
      </c>
      <c r="G24" s="46">
        <f t="shared" si="2"/>
        <v>551.65465399020172</v>
      </c>
      <c r="I24" s="237"/>
      <c r="J24" s="237"/>
      <c r="K24" s="238"/>
      <c r="L24" s="240"/>
    </row>
    <row r="25" spans="1:14" ht="16.5" customHeight="1" thickBot="1" x14ac:dyDescent="0.25">
      <c r="A25" s="38">
        <v>16</v>
      </c>
      <c r="B25" s="46">
        <f t="shared" si="3"/>
        <v>1200.4450550918614</v>
      </c>
      <c r="C25" s="189">
        <f t="shared" si="4"/>
        <v>796.8</v>
      </c>
      <c r="D25" s="131">
        <f t="shared" si="0"/>
        <v>399.3880698290622</v>
      </c>
      <c r="E25" s="38">
        <v>16</v>
      </c>
      <c r="F25" s="46">
        <f t="shared" si="1"/>
        <v>1560.5782393329494</v>
      </c>
      <c r="G25" s="46">
        <f t="shared" si="2"/>
        <v>519.2043802260722</v>
      </c>
    </row>
    <row r="26" spans="1:14" ht="16.5" customHeight="1" x14ac:dyDescent="0.2">
      <c r="A26" s="38">
        <v>15</v>
      </c>
      <c r="B26" s="46">
        <f t="shared" si="3"/>
        <v>1125.41723914862</v>
      </c>
      <c r="C26" s="189">
        <f t="shared" si="4"/>
        <v>746.99999999999989</v>
      </c>
      <c r="D26" s="131">
        <f t="shared" si="0"/>
        <v>374.42631546474581</v>
      </c>
      <c r="E26" s="38">
        <v>15</v>
      </c>
      <c r="F26" s="46">
        <f t="shared" si="1"/>
        <v>1463.04209937464</v>
      </c>
      <c r="G26" s="46">
        <f t="shared" si="2"/>
        <v>486.75410646194263</v>
      </c>
      <c r="I26" s="237" t="s">
        <v>68</v>
      </c>
      <c r="J26" s="237"/>
      <c r="K26" s="238"/>
      <c r="L26" s="241">
        <v>0</v>
      </c>
    </row>
    <row r="27" spans="1:14" ht="16.5" customHeight="1" thickBot="1" x14ac:dyDescent="0.25">
      <c r="A27" s="38">
        <v>14</v>
      </c>
      <c r="B27" s="46">
        <f t="shared" si="3"/>
        <v>1050.3894232053788</v>
      </c>
      <c r="C27" s="189">
        <f t="shared" si="4"/>
        <v>697.20000000000016</v>
      </c>
      <c r="D27" s="131">
        <f t="shared" si="0"/>
        <v>349.46456110042948</v>
      </c>
      <c r="E27" s="38">
        <v>14</v>
      </c>
      <c r="F27" s="46">
        <f t="shared" si="1"/>
        <v>1365.5059594163306</v>
      </c>
      <c r="G27" s="46">
        <f t="shared" si="2"/>
        <v>454.30383269781311</v>
      </c>
      <c r="I27" s="237"/>
      <c r="J27" s="237"/>
      <c r="K27" s="238"/>
      <c r="L27" s="242"/>
    </row>
    <row r="28" spans="1:14" ht="16.5" customHeight="1" thickBot="1" x14ac:dyDescent="0.25">
      <c r="A28" s="38">
        <v>13</v>
      </c>
      <c r="B28" s="46">
        <f t="shared" si="3"/>
        <v>975.36160726213734</v>
      </c>
      <c r="C28" s="189">
        <f t="shared" si="4"/>
        <v>647.4</v>
      </c>
      <c r="D28" s="131">
        <f t="shared" si="0"/>
        <v>324.50280673611303</v>
      </c>
      <c r="E28" s="38">
        <v>13</v>
      </c>
      <c r="F28" s="46">
        <f t="shared" si="1"/>
        <v>1267.9698194580212</v>
      </c>
      <c r="G28" s="46">
        <f t="shared" si="2"/>
        <v>421.85355893368359</v>
      </c>
    </row>
    <row r="29" spans="1:14" ht="16.5" customHeight="1" x14ac:dyDescent="0.2">
      <c r="A29" s="38">
        <v>12</v>
      </c>
      <c r="B29" s="46">
        <f t="shared" si="3"/>
        <v>900.33379131889592</v>
      </c>
      <c r="C29" s="189">
        <f t="shared" si="4"/>
        <v>597.59999999999991</v>
      </c>
      <c r="D29" s="131">
        <f t="shared" si="0"/>
        <v>299.54105237179664</v>
      </c>
      <c r="E29" s="38">
        <v>12</v>
      </c>
      <c r="F29" s="46">
        <f t="shared" si="1"/>
        <v>1170.4336794997118</v>
      </c>
      <c r="G29" s="46">
        <f t="shared" si="2"/>
        <v>389.40328516955407</v>
      </c>
      <c r="I29" s="243" t="s">
        <v>65</v>
      </c>
      <c r="J29" s="244"/>
      <c r="K29" s="244"/>
      <c r="L29" s="245"/>
    </row>
    <row r="30" spans="1:14" ht="16.5" customHeight="1" thickBot="1" x14ac:dyDescent="0.25">
      <c r="A30" s="38">
        <v>11</v>
      </c>
      <c r="B30" s="46">
        <f t="shared" si="3"/>
        <v>825.30597537565461</v>
      </c>
      <c r="C30" s="189">
        <f t="shared" si="4"/>
        <v>547.79999999999995</v>
      </c>
      <c r="D30" s="131">
        <f t="shared" si="0"/>
        <v>274.57929800748025</v>
      </c>
      <c r="E30" s="38">
        <v>11</v>
      </c>
      <c r="F30" s="46">
        <f t="shared" si="1"/>
        <v>1072.8975395414027</v>
      </c>
      <c r="G30" s="46">
        <f t="shared" si="2"/>
        <v>356.9530114054246</v>
      </c>
      <c r="I30" s="246"/>
      <c r="J30" s="247"/>
      <c r="K30" s="247"/>
      <c r="L30" s="248"/>
    </row>
    <row r="31" spans="1:14" ht="16.5" customHeight="1" thickBot="1" x14ac:dyDescent="0.25">
      <c r="A31" s="38">
        <v>10</v>
      </c>
      <c r="B31" s="46">
        <f t="shared" si="3"/>
        <v>750.2781594324133</v>
      </c>
      <c r="C31" s="189">
        <f t="shared" si="4"/>
        <v>498</v>
      </c>
      <c r="D31" s="131">
        <f t="shared" si="0"/>
        <v>249.61754364316386</v>
      </c>
      <c r="E31" s="38">
        <v>10</v>
      </c>
      <c r="F31" s="46">
        <f t="shared" si="1"/>
        <v>975.36139958309343</v>
      </c>
      <c r="G31" s="46">
        <f t="shared" si="2"/>
        <v>324.50273764129514</v>
      </c>
      <c r="I31" s="137" t="s">
        <v>69</v>
      </c>
      <c r="J31" s="135" t="s">
        <v>55</v>
      </c>
      <c r="K31" s="133" t="s">
        <v>70</v>
      </c>
      <c r="L31" s="119" t="s">
        <v>57</v>
      </c>
    </row>
    <row r="32" spans="1:14" ht="16.5" customHeight="1" x14ac:dyDescent="0.2">
      <c r="A32" s="38">
        <v>9</v>
      </c>
      <c r="B32" s="46">
        <f t="shared" si="3"/>
        <v>675.25034348917188</v>
      </c>
      <c r="C32" s="189">
        <f t="shared" si="4"/>
        <v>448.20000000000005</v>
      </c>
      <c r="D32" s="131">
        <f t="shared" si="0"/>
        <v>224.65578927884744</v>
      </c>
      <c r="E32" s="38">
        <v>9</v>
      </c>
      <c r="F32" s="46">
        <f t="shared" si="1"/>
        <v>877.82525962478405</v>
      </c>
      <c r="G32" s="46">
        <f t="shared" si="2"/>
        <v>292.05246387716562</v>
      </c>
      <c r="I32" s="229">
        <f>((L23/37.5*7.5*5)/7)*30*$D$43</f>
        <v>0</v>
      </c>
      <c r="J32" s="231">
        <f>IF(L26&lt;I32,I32,L26)</f>
        <v>0</v>
      </c>
      <c r="K32" s="233">
        <v>33.270000000000003</v>
      </c>
      <c r="L32" s="235">
        <f>J32*K32%</f>
        <v>0</v>
      </c>
    </row>
    <row r="33" spans="1:14" ht="16.5" customHeight="1" thickBot="1" x14ac:dyDescent="0.25">
      <c r="A33" s="38">
        <v>8</v>
      </c>
      <c r="B33" s="46">
        <f t="shared" si="3"/>
        <v>600.22252754593069</v>
      </c>
      <c r="C33" s="189">
        <f t="shared" si="4"/>
        <v>398.4</v>
      </c>
      <c r="D33" s="131">
        <f t="shared" si="0"/>
        <v>199.6940349145311</v>
      </c>
      <c r="E33" s="38">
        <v>8</v>
      </c>
      <c r="F33" s="46">
        <f t="shared" si="1"/>
        <v>780.28911966647468</v>
      </c>
      <c r="G33" s="46">
        <f t="shared" si="2"/>
        <v>259.6021901130361</v>
      </c>
      <c r="I33" s="230"/>
      <c r="J33" s="232"/>
      <c r="K33" s="234"/>
      <c r="L33" s="236"/>
    </row>
    <row r="34" spans="1:14" ht="16.5" customHeight="1" thickBot="1" x14ac:dyDescent="0.25">
      <c r="A34" s="38">
        <v>7</v>
      </c>
      <c r="B34" s="46">
        <f t="shared" si="3"/>
        <v>525.19471160268938</v>
      </c>
      <c r="C34" s="189">
        <f t="shared" si="4"/>
        <v>348.60000000000008</v>
      </c>
      <c r="D34" s="131">
        <f t="shared" si="0"/>
        <v>174.73228055021474</v>
      </c>
      <c r="E34" s="38">
        <v>7</v>
      </c>
      <c r="F34" s="46">
        <f t="shared" si="1"/>
        <v>682.7529797081653</v>
      </c>
      <c r="G34" s="46">
        <f t="shared" si="2"/>
        <v>227.15191634890655</v>
      </c>
      <c r="I34" s="224" t="s">
        <v>66</v>
      </c>
      <c r="J34" s="225"/>
      <c r="K34" s="226"/>
      <c r="L34" s="130">
        <f>SUM(L32)</f>
        <v>0</v>
      </c>
    </row>
    <row r="35" spans="1:14" ht="16.5" customHeight="1" x14ac:dyDescent="0.2">
      <c r="A35" s="38">
        <v>6</v>
      </c>
      <c r="B35" s="46">
        <f t="shared" si="3"/>
        <v>450.16689565944796</v>
      </c>
      <c r="C35" s="189">
        <f t="shared" si="4"/>
        <v>298.79999999999995</v>
      </c>
      <c r="D35" s="131">
        <f t="shared" si="0"/>
        <v>149.77052618589832</v>
      </c>
      <c r="E35" s="38">
        <v>6</v>
      </c>
      <c r="F35" s="46">
        <f t="shared" si="1"/>
        <v>585.21683974985592</v>
      </c>
      <c r="G35" s="46">
        <f t="shared" si="2"/>
        <v>194.70164258477703</v>
      </c>
      <c r="N35" s="136"/>
    </row>
    <row r="36" spans="1:14" ht="16.5" customHeight="1" x14ac:dyDescent="0.2">
      <c r="A36" s="38">
        <v>5</v>
      </c>
      <c r="B36" s="46">
        <f t="shared" si="3"/>
        <v>375.13907971620665</v>
      </c>
      <c r="C36" s="189">
        <f t="shared" si="4"/>
        <v>249</v>
      </c>
      <c r="D36" s="131">
        <f t="shared" si="0"/>
        <v>124.80877182158193</v>
      </c>
      <c r="E36" s="38">
        <v>5</v>
      </c>
      <c r="F36" s="46">
        <f t="shared" si="1"/>
        <v>487.68069979154672</v>
      </c>
      <c r="G36" s="46">
        <f t="shared" si="2"/>
        <v>162.25136882064757</v>
      </c>
      <c r="I36" s="227" t="s">
        <v>67</v>
      </c>
      <c r="J36" s="227"/>
      <c r="K36" s="227"/>
      <c r="L36" s="227"/>
      <c r="M36" s="228" t="s">
        <v>101</v>
      </c>
      <c r="N36" s="136"/>
    </row>
    <row r="37" spans="1:14" ht="16.5" customHeight="1" x14ac:dyDescent="0.2">
      <c r="A37" s="38">
        <v>4</v>
      </c>
      <c r="B37" s="46">
        <f t="shared" si="3"/>
        <v>300.11126377296534</v>
      </c>
      <c r="C37" s="189">
        <f t="shared" si="4"/>
        <v>199.2</v>
      </c>
      <c r="D37" s="131">
        <f t="shared" si="0"/>
        <v>99.847017457265551</v>
      </c>
      <c r="E37" s="38">
        <v>4</v>
      </c>
      <c r="F37" s="46">
        <f t="shared" si="1"/>
        <v>390.14455983323734</v>
      </c>
      <c r="G37" s="46">
        <f t="shared" si="2"/>
        <v>129.80109505651805</v>
      </c>
      <c r="I37" s="227"/>
      <c r="J37" s="227"/>
      <c r="K37" s="227"/>
      <c r="L37" s="227"/>
      <c r="M37" s="228"/>
      <c r="N37" s="136"/>
    </row>
    <row r="38" spans="1:14" ht="16.5" customHeight="1" x14ac:dyDescent="0.2">
      <c r="A38" s="38">
        <v>3</v>
      </c>
      <c r="B38" s="46">
        <f t="shared" si="3"/>
        <v>225.08344782972398</v>
      </c>
      <c r="C38" s="189">
        <f t="shared" si="4"/>
        <v>149.39999999999998</v>
      </c>
      <c r="D38" s="131">
        <f t="shared" si="0"/>
        <v>74.88526309294916</v>
      </c>
      <c r="E38" s="38">
        <v>3</v>
      </c>
      <c r="F38" s="46">
        <f t="shared" si="1"/>
        <v>292.60841987492796</v>
      </c>
      <c r="G38" s="46">
        <f t="shared" si="2"/>
        <v>97.350821292388517</v>
      </c>
    </row>
    <row r="39" spans="1:14" ht="16.5" customHeight="1" x14ac:dyDescent="0.2">
      <c r="A39" s="38">
        <v>2</v>
      </c>
      <c r="B39" s="46">
        <f t="shared" si="3"/>
        <v>150.05563188648267</v>
      </c>
      <c r="C39" s="189">
        <f t="shared" si="4"/>
        <v>99.6</v>
      </c>
      <c r="D39" s="131">
        <f t="shared" si="0"/>
        <v>49.923508728632775</v>
      </c>
      <c r="E39" s="38">
        <v>2</v>
      </c>
      <c r="F39" s="46">
        <f t="shared" si="1"/>
        <v>195.07227991661867</v>
      </c>
      <c r="G39" s="46">
        <f t="shared" si="2"/>
        <v>64.900547528259025</v>
      </c>
    </row>
    <row r="40" spans="1:14" ht="16.5" customHeight="1" x14ac:dyDescent="0.2">
      <c r="A40" s="39">
        <v>1</v>
      </c>
      <c r="B40" s="198">
        <f t="shared" si="3"/>
        <v>75.027815943241336</v>
      </c>
      <c r="C40" s="199">
        <f t="shared" si="4"/>
        <v>49.8</v>
      </c>
      <c r="D40" s="200">
        <f t="shared" si="0"/>
        <v>24.961754364316388</v>
      </c>
      <c r="E40" s="39">
        <v>1</v>
      </c>
      <c r="F40" s="198">
        <f t="shared" si="1"/>
        <v>97.536139958309334</v>
      </c>
      <c r="G40" s="198">
        <f t="shared" si="2"/>
        <v>32.450273764129513</v>
      </c>
    </row>
    <row r="41" spans="1:14" hidden="1" x14ac:dyDescent="0.2">
      <c r="D41" s="197"/>
    </row>
    <row r="42" spans="1:14" ht="13.5" hidden="1" thickBot="1" x14ac:dyDescent="0.25"/>
    <row r="43" spans="1:14" ht="39" hidden="1" thickBot="1" x14ac:dyDescent="0.25">
      <c r="B43" s="194" t="s">
        <v>14</v>
      </c>
      <c r="C43" s="195"/>
      <c r="D43" s="196">
        <v>11.62</v>
      </c>
      <c r="E43" s="17"/>
    </row>
    <row r="44" spans="1:14" hidden="1" x14ac:dyDescent="0.2"/>
  </sheetData>
  <sheetProtection algorithmName="SHA-512" hashValue="qlfYyTmxNht1VAkjLDJQpoZ+SYd3yYvgXv6gsh6BE7gsefouxDHXw5aylW6r+hYSiuAB0/7YuEy8PlUIlg769A==" saltValue="rYTFsHFUfYbqURvJZleE8g==" spinCount="100000" sheet="1" objects="1" scenarios="1"/>
  <protectedRanges>
    <protectedRange sqref="M36" name="CALCULO RC"/>
    <protectedRange sqref="L8" name="RET TC_1"/>
    <protectedRange sqref="L26" name="RET TC_2"/>
    <protectedRange sqref="L23" name="DED_1"/>
  </protectedRanges>
  <mergeCells count="36">
    <mergeCell ref="I1:M1"/>
    <mergeCell ref="I20:M21"/>
    <mergeCell ref="A1:G1"/>
    <mergeCell ref="I2:K2"/>
    <mergeCell ref="I4:I5"/>
    <mergeCell ref="J4:J5"/>
    <mergeCell ref="K4:K5"/>
    <mergeCell ref="L2:M2"/>
    <mergeCell ref="B2:D2"/>
    <mergeCell ref="F2:G2"/>
    <mergeCell ref="L4:L5"/>
    <mergeCell ref="M4:M5"/>
    <mergeCell ref="I18:J18"/>
    <mergeCell ref="L8:L9"/>
    <mergeCell ref="I8:K9"/>
    <mergeCell ref="I11:L12"/>
    <mergeCell ref="I14:I15"/>
    <mergeCell ref="J14:J15"/>
    <mergeCell ref="K14:K15"/>
    <mergeCell ref="L16:L17"/>
    <mergeCell ref="K16:K17"/>
    <mergeCell ref="I16:I17"/>
    <mergeCell ref="J16:J17"/>
    <mergeCell ref="L14:L15"/>
    <mergeCell ref="I26:K27"/>
    <mergeCell ref="L23:L24"/>
    <mergeCell ref="I23:K24"/>
    <mergeCell ref="L26:L27"/>
    <mergeCell ref="I29:L30"/>
    <mergeCell ref="I34:K34"/>
    <mergeCell ref="I36:L37"/>
    <mergeCell ref="M36:M37"/>
    <mergeCell ref="I32:I33"/>
    <mergeCell ref="J32:J33"/>
    <mergeCell ref="K32:K33"/>
    <mergeCell ref="L32:L33"/>
  </mergeCells>
  <phoneticPr fontId="3" type="noConversion"/>
  <hyperlinks>
    <hyperlink ref="M36:M37" r:id="rId1" display="CALCULO RC E INDEMNIZACION" xr:uid="{00000000-0004-0000-0000-000000000000}"/>
  </hyperlinks>
  <pageMargins left="0.94488188976377963" right="0.86614173228346458" top="9.46969696969697E-3" bottom="0.39370078740157483" header="0" footer="0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topLeftCell="A3" zoomScale="96" zoomScaleNormal="96" workbookViewId="0">
      <selection activeCell="L8" sqref="L8:L9"/>
    </sheetView>
  </sheetViews>
  <sheetFormatPr baseColWidth="10" defaultColWidth="11.5703125" defaultRowHeight="12.75" x14ac:dyDescent="0.2"/>
  <cols>
    <col min="1" max="1" width="18.42578125" style="33" customWidth="1"/>
    <col min="2" max="2" width="24.7109375" style="50" customWidth="1"/>
    <col min="3" max="3" width="15.42578125" style="51" hidden="1" customWidth="1"/>
    <col min="4" max="4" width="18.42578125" style="52" customWidth="1"/>
    <col min="5" max="5" width="18.42578125" style="8" customWidth="1"/>
    <col min="6" max="6" width="24.7109375" style="49" customWidth="1"/>
    <col min="7" max="7" width="18.42578125" style="49" customWidth="1"/>
    <col min="8" max="8" width="11.5703125" style="8"/>
    <col min="9" max="9" width="19.28515625" style="19" customWidth="1"/>
    <col min="10" max="10" width="17" style="8" bestFit="1" customWidth="1"/>
    <col min="11" max="11" width="19.7109375" style="8" bestFit="1" customWidth="1"/>
    <col min="12" max="12" width="16.28515625" style="8" bestFit="1" customWidth="1"/>
    <col min="13" max="13" width="16.7109375" style="8" customWidth="1"/>
    <col min="14" max="16384" width="11.5703125" style="8"/>
  </cols>
  <sheetData>
    <row r="1" spans="1:14" ht="43.15" customHeight="1" x14ac:dyDescent="0.2">
      <c r="A1" s="264" t="s">
        <v>110</v>
      </c>
      <c r="B1" s="265"/>
      <c r="C1" s="265"/>
      <c r="D1" s="265"/>
      <c r="E1" s="265"/>
      <c r="F1" s="265"/>
      <c r="G1" s="265"/>
      <c r="I1" s="260" t="s">
        <v>115</v>
      </c>
      <c r="J1" s="261"/>
      <c r="K1" s="261"/>
      <c r="L1" s="261"/>
      <c r="M1" s="262"/>
    </row>
    <row r="2" spans="1:14" s="47" customFormat="1" ht="24" customHeight="1" x14ac:dyDescent="0.2">
      <c r="A2" s="48"/>
      <c r="B2" s="279" t="s">
        <v>47</v>
      </c>
      <c r="C2" s="279"/>
      <c r="D2" s="280"/>
      <c r="E2" s="57"/>
      <c r="F2" s="281" t="s">
        <v>48</v>
      </c>
      <c r="G2" s="282"/>
      <c r="I2" s="266" t="s">
        <v>50</v>
      </c>
      <c r="J2" s="266"/>
      <c r="K2" s="266"/>
      <c r="L2" s="266" t="s">
        <v>54</v>
      </c>
      <c r="M2" s="266"/>
      <c r="N2" s="36"/>
    </row>
    <row r="3" spans="1:14" s="27" customFormat="1" ht="38.25" x14ac:dyDescent="0.2">
      <c r="A3" s="40" t="s">
        <v>45</v>
      </c>
      <c r="B3" s="61" t="s">
        <v>46</v>
      </c>
      <c r="C3" s="62" t="s">
        <v>15</v>
      </c>
      <c r="D3" s="63" t="s">
        <v>108</v>
      </c>
      <c r="E3" s="40" t="s">
        <v>45</v>
      </c>
      <c r="F3" s="64" t="s">
        <v>46</v>
      </c>
      <c r="G3" s="63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58">
        <v>37.5</v>
      </c>
      <c r="B4" s="59">
        <f>PARAMETROS!B23</f>
        <v>2311.1250892974003</v>
      </c>
      <c r="C4" s="60"/>
      <c r="D4" s="59"/>
      <c r="E4" s="58">
        <v>37.5</v>
      </c>
      <c r="F4" s="59">
        <f>PARAMETROS!C23</f>
        <v>3004.4615776913997</v>
      </c>
      <c r="G4" s="59">
        <f>IF(F4&gt;=$K$4,$K$4*$K$18%,F4*$K$18%)</f>
        <v>999.58436689792848</v>
      </c>
      <c r="I4" s="267">
        <v>1</v>
      </c>
      <c r="J4" s="268">
        <v>1929</v>
      </c>
      <c r="K4" s="268">
        <v>4909.5</v>
      </c>
      <c r="L4" s="272">
        <v>1381.2</v>
      </c>
      <c r="M4" s="268">
        <v>4909.5</v>
      </c>
    </row>
    <row r="5" spans="1:14" ht="15" customHeight="1" x14ac:dyDescent="0.2">
      <c r="A5" s="38">
        <v>36</v>
      </c>
      <c r="B5" s="53">
        <f>PRODUCT(B$4,A5)/A$4</f>
        <v>2218.6800857255043</v>
      </c>
      <c r="C5" s="54">
        <f t="shared" ref="C5:C40" si="0">(A5/$A$4*7.5*5)/7*30*$C$46</f>
        <v>1792.8000000000002</v>
      </c>
      <c r="D5" s="53">
        <f>IF(B5&lt;C5,C5*$K$18%,B5*$K$18%)</f>
        <v>738.15486452087521</v>
      </c>
      <c r="E5" s="38">
        <v>36</v>
      </c>
      <c r="F5" s="53">
        <f>PRODUCT(F$4,E5)/E$4</f>
        <v>2884.2831145837436</v>
      </c>
      <c r="G5" s="59">
        <f t="shared" ref="G5:G40" si="1">IF(F5&gt;=$K$4,$K$4*$K$18%,F5*$K$18%)</f>
        <v>959.60099222201131</v>
      </c>
      <c r="I5" s="267"/>
      <c r="J5" s="269"/>
      <c r="K5" s="269"/>
      <c r="L5" s="273"/>
      <c r="M5" s="269"/>
    </row>
    <row r="6" spans="1:14" ht="15" customHeight="1" x14ac:dyDescent="0.2">
      <c r="A6" s="38">
        <v>35</v>
      </c>
      <c r="B6" s="53">
        <f>PRODUCT(B$4,A6)/A$4</f>
        <v>2157.0500833442402</v>
      </c>
      <c r="C6" s="54">
        <f t="shared" si="0"/>
        <v>1742.9999999999998</v>
      </c>
      <c r="D6" s="53">
        <f t="shared" ref="D6:D40" si="2">IF(B6&lt;C6,C6*$K$18%,B6*$K$18%)</f>
        <v>717.65056272862853</v>
      </c>
      <c r="E6" s="38">
        <v>35</v>
      </c>
      <c r="F6" s="53">
        <f>PRODUCT(F$4,E6)/E$4</f>
        <v>2804.1641391786397</v>
      </c>
      <c r="G6" s="59">
        <f t="shared" si="1"/>
        <v>932.94540910473324</v>
      </c>
      <c r="I6" s="35"/>
      <c r="L6" s="115"/>
    </row>
    <row r="7" spans="1:14" ht="15" customHeight="1" thickBot="1" x14ac:dyDescent="0.25">
      <c r="A7" s="38">
        <v>34</v>
      </c>
      <c r="B7" s="53">
        <f t="shared" ref="B7:B40" si="3">PRODUCT(B$4,A7)/A$4</f>
        <v>2095.420080962976</v>
      </c>
      <c r="C7" s="54">
        <f t="shared" si="0"/>
        <v>1693.1999999999996</v>
      </c>
      <c r="D7" s="53">
        <f t="shared" si="2"/>
        <v>697.14626093638196</v>
      </c>
      <c r="E7" s="38">
        <v>34</v>
      </c>
      <c r="F7" s="53">
        <f t="shared" ref="F7:F40" si="4">PRODUCT(F$4,E7)/E$4</f>
        <v>2724.0451637735359</v>
      </c>
      <c r="G7" s="59">
        <f t="shared" si="1"/>
        <v>906.28982598745529</v>
      </c>
      <c r="I7" s="35"/>
      <c r="J7" s="19"/>
      <c r="L7" s="115"/>
    </row>
    <row r="8" spans="1:14" ht="15" customHeight="1" x14ac:dyDescent="0.2">
      <c r="A8" s="38">
        <v>33</v>
      </c>
      <c r="B8" s="53">
        <f t="shared" si="3"/>
        <v>2033.7900785817124</v>
      </c>
      <c r="C8" s="54">
        <f t="shared" si="0"/>
        <v>1643.4</v>
      </c>
      <c r="D8" s="53">
        <f t="shared" si="2"/>
        <v>676.64195914413563</v>
      </c>
      <c r="E8" s="38">
        <v>33</v>
      </c>
      <c r="F8" s="53">
        <f t="shared" si="4"/>
        <v>2643.9261883684317</v>
      </c>
      <c r="G8" s="59">
        <f t="shared" si="1"/>
        <v>879.6342428701771</v>
      </c>
      <c r="I8" s="237" t="s">
        <v>88</v>
      </c>
      <c r="J8" s="237"/>
      <c r="K8" s="238"/>
      <c r="L8" s="241">
        <v>0</v>
      </c>
    </row>
    <row r="9" spans="1:14" ht="15" customHeight="1" thickBot="1" x14ac:dyDescent="0.25">
      <c r="A9" s="38">
        <v>32</v>
      </c>
      <c r="B9" s="53">
        <f t="shared" si="3"/>
        <v>1972.1600762004482</v>
      </c>
      <c r="C9" s="54">
        <f t="shared" si="0"/>
        <v>1593.6</v>
      </c>
      <c r="D9" s="53">
        <f t="shared" si="2"/>
        <v>656.13765735188895</v>
      </c>
      <c r="E9" s="38">
        <v>32</v>
      </c>
      <c r="F9" s="53">
        <f t="shared" si="4"/>
        <v>2563.8072129633279</v>
      </c>
      <c r="G9" s="59">
        <f t="shared" si="1"/>
        <v>852.97865975289903</v>
      </c>
      <c r="I9" s="237"/>
      <c r="J9" s="237"/>
      <c r="K9" s="238"/>
      <c r="L9" s="242"/>
    </row>
    <row r="10" spans="1:14" ht="15" customHeight="1" thickBot="1" x14ac:dyDescent="0.25">
      <c r="A10" s="38">
        <v>31</v>
      </c>
      <c r="B10" s="53">
        <f t="shared" si="3"/>
        <v>1910.5300738191841</v>
      </c>
      <c r="C10" s="54">
        <f t="shared" si="0"/>
        <v>1543.8</v>
      </c>
      <c r="D10" s="53">
        <f t="shared" si="2"/>
        <v>635.63335555964238</v>
      </c>
      <c r="E10" s="38">
        <v>31</v>
      </c>
      <c r="F10" s="53">
        <f t="shared" si="4"/>
        <v>2483.6882375582236</v>
      </c>
      <c r="G10" s="59">
        <f t="shared" si="1"/>
        <v>826.32307663562085</v>
      </c>
      <c r="I10" s="120"/>
      <c r="J10" s="121"/>
      <c r="K10" s="122"/>
      <c r="L10" s="123"/>
    </row>
    <row r="11" spans="1:14" ht="15" customHeight="1" x14ac:dyDescent="0.2">
      <c r="A11" s="38">
        <v>30</v>
      </c>
      <c r="B11" s="53">
        <f t="shared" si="3"/>
        <v>1848.9000714379204</v>
      </c>
      <c r="C11" s="54">
        <f t="shared" si="0"/>
        <v>1493.9999999999998</v>
      </c>
      <c r="D11" s="53">
        <f t="shared" si="2"/>
        <v>615.12905376739604</v>
      </c>
      <c r="E11" s="38">
        <v>30</v>
      </c>
      <c r="F11" s="53">
        <f t="shared" si="4"/>
        <v>2403.5692621531198</v>
      </c>
      <c r="G11" s="59">
        <f t="shared" si="1"/>
        <v>799.66749351834278</v>
      </c>
      <c r="I11" s="243" t="s">
        <v>62</v>
      </c>
      <c r="J11" s="244"/>
      <c r="K11" s="244"/>
      <c r="L11" s="245"/>
    </row>
    <row r="12" spans="1:14" ht="15" customHeight="1" thickBot="1" x14ac:dyDescent="0.25">
      <c r="A12" s="38">
        <v>29</v>
      </c>
      <c r="B12" s="53">
        <f t="shared" si="3"/>
        <v>1787.2700690566562</v>
      </c>
      <c r="C12" s="54">
        <f t="shared" si="0"/>
        <v>1444.2</v>
      </c>
      <c r="D12" s="53">
        <f t="shared" si="2"/>
        <v>594.62475197514937</v>
      </c>
      <c r="E12" s="38">
        <v>29</v>
      </c>
      <c r="F12" s="53">
        <f t="shared" si="4"/>
        <v>2323.450286748016</v>
      </c>
      <c r="G12" s="59">
        <f t="shared" si="1"/>
        <v>773.01191040106482</v>
      </c>
      <c r="I12" s="246"/>
      <c r="J12" s="247"/>
      <c r="K12" s="247"/>
      <c r="L12" s="248"/>
    </row>
    <row r="13" spans="1:14" ht="15" customHeight="1" thickBot="1" x14ac:dyDescent="0.25">
      <c r="A13" s="38">
        <v>28</v>
      </c>
      <c r="B13" s="53">
        <f t="shared" si="3"/>
        <v>1725.6400666753923</v>
      </c>
      <c r="C13" s="54">
        <f t="shared" si="0"/>
        <v>1394.4000000000003</v>
      </c>
      <c r="D13" s="53">
        <f t="shared" si="2"/>
        <v>574.12045018290291</v>
      </c>
      <c r="E13" s="38">
        <v>28</v>
      </c>
      <c r="F13" s="53">
        <f t="shared" si="4"/>
        <v>2243.3313113429117</v>
      </c>
      <c r="G13" s="59">
        <f t="shared" si="1"/>
        <v>746.35632728378664</v>
      </c>
      <c r="I13" s="117"/>
      <c r="J13" s="118" t="s">
        <v>55</v>
      </c>
      <c r="K13" s="133" t="s">
        <v>56</v>
      </c>
      <c r="L13" s="119" t="s">
        <v>57</v>
      </c>
    </row>
    <row r="14" spans="1:14" ht="15" customHeight="1" x14ac:dyDescent="0.2">
      <c r="A14" s="38">
        <v>27</v>
      </c>
      <c r="B14" s="53">
        <f t="shared" si="3"/>
        <v>1664.0100642941284</v>
      </c>
      <c r="C14" s="54">
        <f t="shared" si="0"/>
        <v>1344.6</v>
      </c>
      <c r="D14" s="53">
        <f t="shared" si="2"/>
        <v>553.61614839065646</v>
      </c>
      <c r="E14" s="38">
        <v>27</v>
      </c>
      <c r="F14" s="53">
        <f t="shared" si="4"/>
        <v>2163.2123359378079</v>
      </c>
      <c r="G14" s="59">
        <f t="shared" si="1"/>
        <v>719.70074416650857</v>
      </c>
      <c r="I14" s="249" t="s">
        <v>58</v>
      </c>
      <c r="J14" s="251">
        <f>IF(L8&gt;=J4,L8,J4)</f>
        <v>1929</v>
      </c>
      <c r="K14" s="253">
        <v>24.27</v>
      </c>
      <c r="L14" s="258">
        <f>J14*K14%</f>
        <v>468.16829999999999</v>
      </c>
    </row>
    <row r="15" spans="1:14" ht="15" customHeight="1" thickBot="1" x14ac:dyDescent="0.25">
      <c r="A15" s="38">
        <v>26</v>
      </c>
      <c r="B15" s="53">
        <f t="shared" si="3"/>
        <v>1602.3800619128642</v>
      </c>
      <c r="C15" s="54">
        <f t="shared" si="0"/>
        <v>1294.8</v>
      </c>
      <c r="D15" s="53">
        <f t="shared" si="2"/>
        <v>533.11184659840978</v>
      </c>
      <c r="E15" s="38">
        <v>26</v>
      </c>
      <c r="F15" s="53">
        <f t="shared" si="4"/>
        <v>2083.0933605327036</v>
      </c>
      <c r="G15" s="59">
        <f t="shared" si="1"/>
        <v>693.04516104923039</v>
      </c>
      <c r="I15" s="250"/>
      <c r="J15" s="252"/>
      <c r="K15" s="254"/>
      <c r="L15" s="259"/>
    </row>
    <row r="16" spans="1:14" ht="15" customHeight="1" x14ac:dyDescent="0.2">
      <c r="A16" s="38">
        <v>25</v>
      </c>
      <c r="B16" s="53">
        <f t="shared" si="3"/>
        <v>1540.7500595316001</v>
      </c>
      <c r="C16" s="54">
        <f t="shared" si="0"/>
        <v>1245</v>
      </c>
      <c r="D16" s="53">
        <f t="shared" si="2"/>
        <v>512.60754480616322</v>
      </c>
      <c r="E16" s="38">
        <v>25</v>
      </c>
      <c r="F16" s="53">
        <f t="shared" si="4"/>
        <v>2002.9743851275998</v>
      </c>
      <c r="G16" s="59">
        <f t="shared" si="1"/>
        <v>666.38957793195232</v>
      </c>
      <c r="I16" s="256" t="s">
        <v>59</v>
      </c>
      <c r="J16" s="251">
        <f>IF(L8&gt;=L4,L8,L4)</f>
        <v>1381.2</v>
      </c>
      <c r="K16" s="253">
        <v>9</v>
      </c>
      <c r="L16" s="235">
        <f>J16*K16%</f>
        <v>124.30799999999999</v>
      </c>
    </row>
    <row r="17" spans="1:14" ht="15" customHeight="1" thickBot="1" x14ac:dyDescent="0.25">
      <c r="A17" s="38">
        <v>24</v>
      </c>
      <c r="B17" s="53">
        <f t="shared" si="3"/>
        <v>1479.1200571503362</v>
      </c>
      <c r="C17" s="54">
        <f t="shared" si="0"/>
        <v>1195.1999999999998</v>
      </c>
      <c r="D17" s="53">
        <f t="shared" si="2"/>
        <v>492.10324301391677</v>
      </c>
      <c r="E17" s="38">
        <v>24</v>
      </c>
      <c r="F17" s="53">
        <f t="shared" si="4"/>
        <v>1922.8554097224958</v>
      </c>
      <c r="G17" s="59">
        <f t="shared" si="1"/>
        <v>639.73399481467425</v>
      </c>
      <c r="I17" s="257"/>
      <c r="J17" s="252"/>
      <c r="K17" s="254">
        <v>0.2</v>
      </c>
      <c r="L17" s="255"/>
    </row>
    <row r="18" spans="1:14" ht="15" customHeight="1" thickBot="1" x14ac:dyDescent="0.25">
      <c r="A18" s="38">
        <v>23</v>
      </c>
      <c r="B18" s="53">
        <f t="shared" si="3"/>
        <v>1417.4900547690722</v>
      </c>
      <c r="C18" s="54">
        <f t="shared" si="0"/>
        <v>1145.3999999999999</v>
      </c>
      <c r="D18" s="53">
        <f t="shared" si="2"/>
        <v>471.59894122167026</v>
      </c>
      <c r="E18" s="38">
        <v>23</v>
      </c>
      <c r="F18" s="53">
        <f t="shared" si="4"/>
        <v>1842.7364343173917</v>
      </c>
      <c r="G18" s="59">
        <f t="shared" si="1"/>
        <v>613.07841169739618</v>
      </c>
      <c r="I18" s="274" t="s">
        <v>63</v>
      </c>
      <c r="J18" s="275"/>
      <c r="K18" s="134">
        <f>(K14+K16)</f>
        <v>33.269999999999996</v>
      </c>
      <c r="L18" s="130">
        <f>SUM(L14:L17)</f>
        <v>592.47630000000004</v>
      </c>
    </row>
    <row r="19" spans="1:14" ht="15" customHeight="1" x14ac:dyDescent="0.2">
      <c r="A19" s="38">
        <v>22</v>
      </c>
      <c r="B19" s="53">
        <f t="shared" si="3"/>
        <v>1355.8600523878083</v>
      </c>
      <c r="C19" s="54">
        <f t="shared" si="0"/>
        <v>1095.5999999999999</v>
      </c>
      <c r="D19" s="53">
        <f t="shared" si="2"/>
        <v>451.09463942942375</v>
      </c>
      <c r="E19" s="38">
        <v>22</v>
      </c>
      <c r="F19" s="53">
        <f t="shared" si="4"/>
        <v>1762.6174589122879</v>
      </c>
      <c r="G19" s="59">
        <f t="shared" si="1"/>
        <v>586.42282858011811</v>
      </c>
      <c r="I19" s="126"/>
      <c r="J19" s="127"/>
      <c r="K19" s="128"/>
      <c r="L19" s="129"/>
    </row>
    <row r="20" spans="1:14" ht="15" customHeight="1" x14ac:dyDescent="0.2">
      <c r="A20" s="38">
        <v>21</v>
      </c>
      <c r="B20" s="53">
        <f t="shared" si="3"/>
        <v>1294.2300500065442</v>
      </c>
      <c r="C20" s="54">
        <f t="shared" si="0"/>
        <v>1045.8</v>
      </c>
      <c r="D20" s="53">
        <f t="shared" si="2"/>
        <v>430.59033763717719</v>
      </c>
      <c r="E20" s="38">
        <v>21</v>
      </c>
      <c r="F20" s="53">
        <f t="shared" si="4"/>
        <v>1682.4984835071839</v>
      </c>
      <c r="G20" s="59">
        <f t="shared" si="1"/>
        <v>559.76724546283992</v>
      </c>
      <c r="I20" s="278" t="s">
        <v>77</v>
      </c>
      <c r="J20" s="278"/>
      <c r="K20" s="278"/>
      <c r="L20" s="278"/>
      <c r="M20" s="278"/>
      <c r="N20" s="278"/>
    </row>
    <row r="21" spans="1:14" ht="15" customHeight="1" x14ac:dyDescent="0.2">
      <c r="A21" s="38">
        <v>20</v>
      </c>
      <c r="B21" s="53">
        <f t="shared" si="3"/>
        <v>1232.6000476252802</v>
      </c>
      <c r="C21" s="54">
        <f t="shared" si="0"/>
        <v>996</v>
      </c>
      <c r="D21" s="53">
        <f t="shared" si="2"/>
        <v>410.08603584493068</v>
      </c>
      <c r="E21" s="38">
        <v>20</v>
      </c>
      <c r="F21" s="53">
        <f t="shared" si="4"/>
        <v>1602.3795081020799</v>
      </c>
      <c r="G21" s="59">
        <f t="shared" si="1"/>
        <v>533.11166234556185</v>
      </c>
      <c r="I21" s="278"/>
      <c r="J21" s="278"/>
      <c r="K21" s="278"/>
      <c r="L21" s="278"/>
      <c r="M21" s="278"/>
      <c r="N21" s="278"/>
    </row>
    <row r="22" spans="1:14" ht="15" customHeight="1" thickBot="1" x14ac:dyDescent="0.25">
      <c r="A22" s="38">
        <v>19</v>
      </c>
      <c r="B22" s="53">
        <f t="shared" si="3"/>
        <v>1170.9700452440163</v>
      </c>
      <c r="C22" s="54">
        <f t="shared" si="0"/>
        <v>946.19999999999993</v>
      </c>
      <c r="D22" s="53">
        <f t="shared" si="2"/>
        <v>389.58173405268417</v>
      </c>
      <c r="E22" s="38">
        <v>19</v>
      </c>
      <c r="F22" s="53">
        <f t="shared" si="4"/>
        <v>1522.2605326969758</v>
      </c>
      <c r="G22" s="59">
        <f t="shared" si="1"/>
        <v>506.45607922828378</v>
      </c>
      <c r="I22" s="35"/>
      <c r="J22" s="19"/>
      <c r="L22" s="115"/>
    </row>
    <row r="23" spans="1:14" ht="15" customHeight="1" x14ac:dyDescent="0.2">
      <c r="A23" s="38">
        <v>18</v>
      </c>
      <c r="B23" s="53">
        <f t="shared" si="3"/>
        <v>1109.3400428627522</v>
      </c>
      <c r="C23" s="54">
        <f t="shared" si="0"/>
        <v>896.40000000000009</v>
      </c>
      <c r="D23" s="53">
        <f t="shared" si="2"/>
        <v>369.0774322604376</v>
      </c>
      <c r="E23" s="38">
        <v>18</v>
      </c>
      <c r="F23" s="53">
        <f t="shared" si="4"/>
        <v>1442.1415572918718</v>
      </c>
      <c r="G23" s="59">
        <f t="shared" si="1"/>
        <v>479.80049611100566</v>
      </c>
      <c r="I23" s="237" t="s">
        <v>64</v>
      </c>
      <c r="J23" s="237"/>
      <c r="K23" s="238"/>
      <c r="L23" s="239">
        <v>0</v>
      </c>
    </row>
    <row r="24" spans="1:14" ht="15" customHeight="1" thickBot="1" x14ac:dyDescent="0.25">
      <c r="A24" s="38">
        <v>17</v>
      </c>
      <c r="B24" s="53">
        <f t="shared" si="3"/>
        <v>1047.710040481488</v>
      </c>
      <c r="C24" s="54">
        <f t="shared" si="0"/>
        <v>846.5999999999998</v>
      </c>
      <c r="D24" s="53">
        <f t="shared" si="2"/>
        <v>348.57313046819098</v>
      </c>
      <c r="E24" s="38">
        <v>17</v>
      </c>
      <c r="F24" s="53">
        <f t="shared" si="4"/>
        <v>1362.022581886768</v>
      </c>
      <c r="G24" s="59">
        <f t="shared" si="1"/>
        <v>453.14491299372764</v>
      </c>
      <c r="I24" s="237"/>
      <c r="J24" s="237"/>
      <c r="K24" s="238"/>
      <c r="L24" s="240"/>
    </row>
    <row r="25" spans="1:14" ht="15" customHeight="1" thickBot="1" x14ac:dyDescent="0.25">
      <c r="A25" s="38">
        <v>16</v>
      </c>
      <c r="B25" s="53">
        <f t="shared" si="3"/>
        <v>986.0800381002241</v>
      </c>
      <c r="C25" s="54">
        <f t="shared" si="0"/>
        <v>796.8</v>
      </c>
      <c r="D25" s="53">
        <f t="shared" si="2"/>
        <v>328.06882867594447</v>
      </c>
      <c r="E25" s="38">
        <v>16</v>
      </c>
      <c r="F25" s="53">
        <f t="shared" si="4"/>
        <v>1281.9036064816639</v>
      </c>
      <c r="G25" s="59">
        <f t="shared" si="1"/>
        <v>426.48932987644952</v>
      </c>
      <c r="I25" s="35"/>
      <c r="J25" s="19"/>
      <c r="L25" s="115"/>
    </row>
    <row r="26" spans="1:14" ht="15" customHeight="1" x14ac:dyDescent="0.2">
      <c r="A26" s="38">
        <v>15</v>
      </c>
      <c r="B26" s="53">
        <f t="shared" si="3"/>
        <v>924.45003571896018</v>
      </c>
      <c r="C26" s="54">
        <f t="shared" si="0"/>
        <v>746.99999999999989</v>
      </c>
      <c r="D26" s="53">
        <f t="shared" si="2"/>
        <v>307.56452688369802</v>
      </c>
      <c r="E26" s="38">
        <v>15</v>
      </c>
      <c r="F26" s="53">
        <f t="shared" si="4"/>
        <v>1201.7846310765599</v>
      </c>
      <c r="G26" s="59">
        <f t="shared" si="1"/>
        <v>399.83374675917139</v>
      </c>
      <c r="I26" s="237" t="s">
        <v>68</v>
      </c>
      <c r="J26" s="237"/>
      <c r="K26" s="238"/>
      <c r="L26" s="241">
        <v>0</v>
      </c>
    </row>
    <row r="27" spans="1:14" ht="15" customHeight="1" thickBot="1" x14ac:dyDescent="0.25">
      <c r="A27" s="38">
        <v>14</v>
      </c>
      <c r="B27" s="53">
        <f t="shared" si="3"/>
        <v>862.82003333769615</v>
      </c>
      <c r="C27" s="54">
        <f t="shared" si="0"/>
        <v>697.20000000000016</v>
      </c>
      <c r="D27" s="53">
        <f t="shared" si="2"/>
        <v>287.06022509145146</v>
      </c>
      <c r="E27" s="38">
        <v>14</v>
      </c>
      <c r="F27" s="53">
        <f t="shared" si="4"/>
        <v>1121.6656556714559</v>
      </c>
      <c r="G27" s="59">
        <f t="shared" si="1"/>
        <v>373.17816364189332</v>
      </c>
      <c r="I27" s="237"/>
      <c r="J27" s="237"/>
      <c r="K27" s="238"/>
      <c r="L27" s="242"/>
    </row>
    <row r="28" spans="1:14" ht="15" customHeight="1" thickBot="1" x14ac:dyDescent="0.25">
      <c r="A28" s="38">
        <v>13</v>
      </c>
      <c r="B28" s="53">
        <f t="shared" si="3"/>
        <v>801.19003095643211</v>
      </c>
      <c r="C28" s="54">
        <f t="shared" si="0"/>
        <v>647.4</v>
      </c>
      <c r="D28" s="53">
        <f t="shared" si="2"/>
        <v>266.55592329920489</v>
      </c>
      <c r="E28" s="38">
        <v>13</v>
      </c>
      <c r="F28" s="53">
        <f t="shared" si="4"/>
        <v>1041.5466802663518</v>
      </c>
      <c r="G28" s="59">
        <f t="shared" si="1"/>
        <v>346.52258052461519</v>
      </c>
      <c r="I28" s="35"/>
      <c r="J28" s="19"/>
      <c r="L28" s="115"/>
    </row>
    <row r="29" spans="1:14" ht="15" customHeight="1" x14ac:dyDescent="0.2">
      <c r="A29" s="38">
        <v>12</v>
      </c>
      <c r="B29" s="53">
        <f t="shared" si="3"/>
        <v>739.56002857516808</v>
      </c>
      <c r="C29" s="54">
        <f t="shared" si="0"/>
        <v>597.59999999999991</v>
      </c>
      <c r="D29" s="53">
        <f t="shared" si="2"/>
        <v>246.05162150695838</v>
      </c>
      <c r="E29" s="38">
        <v>12</v>
      </c>
      <c r="F29" s="53">
        <f t="shared" si="4"/>
        <v>961.42770486124789</v>
      </c>
      <c r="G29" s="59">
        <f t="shared" si="1"/>
        <v>319.86699740733712</v>
      </c>
      <c r="I29" s="243" t="s">
        <v>65</v>
      </c>
      <c r="J29" s="244"/>
      <c r="K29" s="244"/>
      <c r="L29" s="245"/>
    </row>
    <row r="30" spans="1:14" ht="15" customHeight="1" thickBot="1" x14ac:dyDescent="0.25">
      <c r="A30" s="38">
        <v>11</v>
      </c>
      <c r="B30" s="53">
        <f t="shared" si="3"/>
        <v>677.93002619390415</v>
      </c>
      <c r="C30" s="54">
        <f t="shared" si="0"/>
        <v>547.79999999999995</v>
      </c>
      <c r="D30" s="53">
        <f t="shared" si="2"/>
        <v>225.54731971471188</v>
      </c>
      <c r="E30" s="38">
        <v>11</v>
      </c>
      <c r="F30" s="53">
        <f t="shared" si="4"/>
        <v>881.30872945614396</v>
      </c>
      <c r="G30" s="59">
        <f t="shared" si="1"/>
        <v>293.21141429005905</v>
      </c>
      <c r="I30" s="246"/>
      <c r="J30" s="247"/>
      <c r="K30" s="247"/>
      <c r="L30" s="248"/>
    </row>
    <row r="31" spans="1:14" ht="15" customHeight="1" thickBot="1" x14ac:dyDescent="0.25">
      <c r="A31" s="38">
        <v>10</v>
      </c>
      <c r="B31" s="53">
        <f t="shared" si="3"/>
        <v>616.30002381264012</v>
      </c>
      <c r="C31" s="54">
        <f t="shared" si="0"/>
        <v>498</v>
      </c>
      <c r="D31" s="53">
        <f t="shared" si="2"/>
        <v>205.04301792246534</v>
      </c>
      <c r="E31" s="38">
        <v>10</v>
      </c>
      <c r="F31" s="53">
        <f t="shared" si="4"/>
        <v>801.18975405103993</v>
      </c>
      <c r="G31" s="59">
        <f t="shared" si="1"/>
        <v>266.55583117278093</v>
      </c>
      <c r="I31" s="137" t="s">
        <v>69</v>
      </c>
      <c r="J31" s="135" t="s">
        <v>55</v>
      </c>
      <c r="K31" s="133" t="s">
        <v>70</v>
      </c>
      <c r="L31" s="119" t="s">
        <v>57</v>
      </c>
    </row>
    <row r="32" spans="1:14" ht="15" customHeight="1" x14ac:dyDescent="0.2">
      <c r="A32" s="38">
        <v>9</v>
      </c>
      <c r="B32" s="53">
        <f t="shared" si="3"/>
        <v>554.67002143137609</v>
      </c>
      <c r="C32" s="54">
        <f t="shared" si="0"/>
        <v>448.20000000000005</v>
      </c>
      <c r="D32" s="53">
        <f t="shared" si="2"/>
        <v>184.5387161302188</v>
      </c>
      <c r="E32" s="38">
        <v>9</v>
      </c>
      <c r="F32" s="53">
        <f t="shared" si="4"/>
        <v>721.07077864593589</v>
      </c>
      <c r="G32" s="59">
        <f t="shared" si="1"/>
        <v>239.90024805550283</v>
      </c>
      <c r="I32" s="229">
        <f>((L23/37.5*7.5*5)/7)*30*$C$46</f>
        <v>0</v>
      </c>
      <c r="J32" s="231">
        <f>IF(L26&lt;I32,I32,L26)</f>
        <v>0</v>
      </c>
      <c r="K32" s="233">
        <v>33.270000000000003</v>
      </c>
      <c r="L32" s="235">
        <f>J32*K32%</f>
        <v>0</v>
      </c>
    </row>
    <row r="33" spans="1:14" ht="15" customHeight="1" thickBot="1" x14ac:dyDescent="0.25">
      <c r="A33" s="38">
        <v>8</v>
      </c>
      <c r="B33" s="53">
        <f t="shared" si="3"/>
        <v>493.04001905011205</v>
      </c>
      <c r="C33" s="54">
        <f t="shared" si="0"/>
        <v>398.4</v>
      </c>
      <c r="D33" s="53">
        <f t="shared" si="2"/>
        <v>164.03441433797224</v>
      </c>
      <c r="E33" s="38">
        <v>8</v>
      </c>
      <c r="F33" s="53">
        <f t="shared" si="4"/>
        <v>640.95180324083196</v>
      </c>
      <c r="G33" s="59">
        <f t="shared" si="1"/>
        <v>213.24466493822476</v>
      </c>
      <c r="I33" s="230"/>
      <c r="J33" s="232"/>
      <c r="K33" s="234"/>
      <c r="L33" s="236"/>
    </row>
    <row r="34" spans="1:14" ht="15" customHeight="1" thickBot="1" x14ac:dyDescent="0.25">
      <c r="A34" s="38">
        <v>7</v>
      </c>
      <c r="B34" s="53">
        <f t="shared" si="3"/>
        <v>431.41001666884807</v>
      </c>
      <c r="C34" s="54">
        <f t="shared" si="0"/>
        <v>348.60000000000008</v>
      </c>
      <c r="D34" s="53">
        <f t="shared" si="2"/>
        <v>143.53011254572573</v>
      </c>
      <c r="E34" s="38">
        <v>7</v>
      </c>
      <c r="F34" s="53">
        <f t="shared" si="4"/>
        <v>560.83282783572793</v>
      </c>
      <c r="G34" s="59">
        <f t="shared" si="1"/>
        <v>186.58908182094666</v>
      </c>
      <c r="I34" s="224" t="s">
        <v>66</v>
      </c>
      <c r="J34" s="225"/>
      <c r="K34" s="226"/>
      <c r="L34" s="130">
        <f>SUM(L32)</f>
        <v>0</v>
      </c>
    </row>
    <row r="35" spans="1:14" ht="15" customHeight="1" x14ac:dyDescent="0.2">
      <c r="A35" s="38">
        <v>6</v>
      </c>
      <c r="B35" s="53">
        <f t="shared" si="3"/>
        <v>369.78001428758404</v>
      </c>
      <c r="C35" s="54">
        <f t="shared" si="0"/>
        <v>298.79999999999995</v>
      </c>
      <c r="D35" s="53">
        <f t="shared" si="2"/>
        <v>123.02581075347919</v>
      </c>
      <c r="E35" s="38">
        <v>6</v>
      </c>
      <c r="F35" s="53">
        <f t="shared" si="4"/>
        <v>480.71385243062394</v>
      </c>
      <c r="G35" s="59">
        <f t="shared" si="1"/>
        <v>159.93349870366856</v>
      </c>
      <c r="I35" s="35"/>
      <c r="J35" s="19"/>
      <c r="L35" s="115"/>
      <c r="N35" s="136"/>
    </row>
    <row r="36" spans="1:14" ht="15" customHeight="1" x14ac:dyDescent="0.2">
      <c r="A36" s="38">
        <v>5</v>
      </c>
      <c r="B36" s="53">
        <f t="shared" si="3"/>
        <v>308.15001190632006</v>
      </c>
      <c r="C36" s="54">
        <f t="shared" si="0"/>
        <v>249</v>
      </c>
      <c r="D36" s="53">
        <f t="shared" si="2"/>
        <v>102.52150896123267</v>
      </c>
      <c r="E36" s="38">
        <v>5</v>
      </c>
      <c r="F36" s="53">
        <f t="shared" si="4"/>
        <v>400.59487702551996</v>
      </c>
      <c r="G36" s="59">
        <f t="shared" si="1"/>
        <v>133.27791558639046</v>
      </c>
      <c r="I36" s="227" t="s">
        <v>67</v>
      </c>
      <c r="J36" s="227"/>
      <c r="K36" s="227"/>
      <c r="L36" s="227"/>
      <c r="M36" s="228" t="s">
        <v>101</v>
      </c>
      <c r="N36" s="136"/>
    </row>
    <row r="37" spans="1:14" ht="15" customHeight="1" x14ac:dyDescent="0.2">
      <c r="A37" s="38">
        <v>4</v>
      </c>
      <c r="B37" s="53">
        <f t="shared" si="3"/>
        <v>246.52000952505603</v>
      </c>
      <c r="C37" s="54">
        <f t="shared" si="0"/>
        <v>199.2</v>
      </c>
      <c r="D37" s="53">
        <f t="shared" si="2"/>
        <v>82.017207168986118</v>
      </c>
      <c r="E37" s="38">
        <v>4</v>
      </c>
      <c r="F37" s="53">
        <f t="shared" si="4"/>
        <v>320.47590162041598</v>
      </c>
      <c r="G37" s="59">
        <f t="shared" si="1"/>
        <v>106.62233246911238</v>
      </c>
      <c r="I37" s="227"/>
      <c r="J37" s="227"/>
      <c r="K37" s="227"/>
      <c r="L37" s="227"/>
      <c r="M37" s="228"/>
      <c r="N37" s="136"/>
    </row>
    <row r="38" spans="1:14" ht="15" customHeight="1" x14ac:dyDescent="0.2">
      <c r="A38" s="38">
        <v>3</v>
      </c>
      <c r="B38" s="53">
        <f t="shared" si="3"/>
        <v>184.89000714379202</v>
      </c>
      <c r="C38" s="54">
        <f t="shared" si="0"/>
        <v>149.39999999999998</v>
      </c>
      <c r="D38" s="53">
        <f t="shared" si="2"/>
        <v>61.512905376739596</v>
      </c>
      <c r="E38" s="38">
        <v>3</v>
      </c>
      <c r="F38" s="53">
        <f t="shared" si="4"/>
        <v>240.35692621531197</v>
      </c>
      <c r="G38" s="59">
        <f t="shared" si="1"/>
        <v>79.966749351834281</v>
      </c>
      <c r="I38" s="8"/>
    </row>
    <row r="39" spans="1:14" ht="15" customHeight="1" x14ac:dyDescent="0.2">
      <c r="A39" s="38">
        <v>2</v>
      </c>
      <c r="B39" s="53">
        <f t="shared" si="3"/>
        <v>123.26000476252801</v>
      </c>
      <c r="C39" s="54">
        <f t="shared" si="0"/>
        <v>99.6</v>
      </c>
      <c r="D39" s="53">
        <f t="shared" si="2"/>
        <v>41.008603584493059</v>
      </c>
      <c r="E39" s="38">
        <v>2</v>
      </c>
      <c r="F39" s="53">
        <f t="shared" si="4"/>
        <v>160.23795081020799</v>
      </c>
      <c r="G39" s="59">
        <f t="shared" si="1"/>
        <v>53.31116623455619</v>
      </c>
      <c r="I39" s="8"/>
    </row>
    <row r="40" spans="1:14" ht="15" customHeight="1" x14ac:dyDescent="0.2">
      <c r="A40" s="39">
        <v>1</v>
      </c>
      <c r="B40" s="55">
        <f t="shared" si="3"/>
        <v>61.630002381264006</v>
      </c>
      <c r="C40" s="56">
        <f t="shared" si="0"/>
        <v>49.8</v>
      </c>
      <c r="D40" s="55">
        <f t="shared" si="2"/>
        <v>20.50430179224653</v>
      </c>
      <c r="E40" s="39">
        <v>1</v>
      </c>
      <c r="F40" s="55">
        <f t="shared" si="4"/>
        <v>80.118975405103996</v>
      </c>
      <c r="G40" s="55">
        <f t="shared" si="1"/>
        <v>26.655583117278095</v>
      </c>
      <c r="I40" s="8"/>
    </row>
    <row r="41" spans="1:14" hidden="1" x14ac:dyDescent="0.2">
      <c r="C41" s="211" t="s">
        <v>93</v>
      </c>
      <c r="D41" s="201"/>
    </row>
    <row r="42" spans="1:14" hidden="1" x14ac:dyDescent="0.2">
      <c r="C42" s="214"/>
      <c r="D42" s="201"/>
    </row>
    <row r="43" spans="1:14" hidden="1" x14ac:dyDescent="0.2">
      <c r="C43" s="214"/>
      <c r="D43" s="201"/>
    </row>
    <row r="44" spans="1:14" hidden="1" x14ac:dyDescent="0.2">
      <c r="C44" s="214"/>
      <c r="D44" s="201"/>
    </row>
    <row r="45" spans="1:14" ht="13.5" hidden="1" thickBot="1" x14ac:dyDescent="0.25"/>
    <row r="46" spans="1:14" ht="42" hidden="1" customHeight="1" thickBot="1" x14ac:dyDescent="0.25">
      <c r="B46" s="202" t="s">
        <v>14</v>
      </c>
      <c r="C46" s="203">
        <v>11.62</v>
      </c>
      <c r="E46" s="17"/>
    </row>
  </sheetData>
  <sheetProtection algorithmName="SHA-512" hashValue="Py4fnaGUJq91DuaG5bb0xp4wkRt0UEg7bqACjt31rTP2Zkhv977tBRveKl0ROzGnxxJ8MCWQX5STM7Zwx5eXRg==" saltValue="ntt2TmHaYrg39jpa7Mc7Zg==" spinCount="100000" sheet="1" objects="1" scenarios="1"/>
  <protectedRanges>
    <protectedRange sqref="M36" name="CALCULO RC"/>
    <protectedRange sqref="L8 L26" name="RET TC_1"/>
    <protectedRange sqref="L23" name="DED_1"/>
  </protectedRanges>
  <mergeCells count="36">
    <mergeCell ref="B2:D2"/>
    <mergeCell ref="F2:G2"/>
    <mergeCell ref="A1:G1"/>
    <mergeCell ref="I2:K2"/>
    <mergeCell ref="L2:M2"/>
    <mergeCell ref="I1:M1"/>
    <mergeCell ref="I4:I5"/>
    <mergeCell ref="J4:J5"/>
    <mergeCell ref="K4:K5"/>
    <mergeCell ref="L4:L5"/>
    <mergeCell ref="M4:M5"/>
    <mergeCell ref="I8:K9"/>
    <mergeCell ref="L8:L9"/>
    <mergeCell ref="I11:L12"/>
    <mergeCell ref="I14:I15"/>
    <mergeCell ref="J14:J15"/>
    <mergeCell ref="K14:K15"/>
    <mergeCell ref="L14:L15"/>
    <mergeCell ref="I16:I17"/>
    <mergeCell ref="J16:J17"/>
    <mergeCell ref="K16:K17"/>
    <mergeCell ref="L16:L17"/>
    <mergeCell ref="I18:J18"/>
    <mergeCell ref="I20:N21"/>
    <mergeCell ref="I23:K24"/>
    <mergeCell ref="L23:L24"/>
    <mergeCell ref="I26:K27"/>
    <mergeCell ref="L26:L27"/>
    <mergeCell ref="I34:K34"/>
    <mergeCell ref="I36:L37"/>
    <mergeCell ref="M36:M37"/>
    <mergeCell ref="I29:L30"/>
    <mergeCell ref="I32:I33"/>
    <mergeCell ref="J32:J33"/>
    <mergeCell ref="K32:K33"/>
    <mergeCell ref="L32:L33"/>
  </mergeCells>
  <hyperlinks>
    <hyperlink ref="M36:M37" r:id="rId1" display="CALCULO RC" xr:uid="{00000000-0004-0000-0100-000000000000}"/>
  </hyperlinks>
  <pageMargins left="0.94488188976377963" right="0.86614173228346458" top="0" bottom="0.39370078740157483" header="0" footer="0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zoomScale="71" zoomScaleNormal="71" workbookViewId="0">
      <selection activeCell="B4" sqref="B4"/>
    </sheetView>
  </sheetViews>
  <sheetFormatPr baseColWidth="10" defaultColWidth="11.5703125" defaultRowHeight="14.25" x14ac:dyDescent="0.2"/>
  <cols>
    <col min="1" max="1" width="32" style="168" customWidth="1"/>
    <col min="2" max="2" width="20.140625" style="70" customWidth="1"/>
    <col min="3" max="3" width="23.7109375" style="70" customWidth="1"/>
    <col min="4" max="4" width="24.7109375" style="70" customWidth="1"/>
    <col min="5" max="5" width="5.7109375" style="5" customWidth="1"/>
    <col min="6" max="6" width="26.5703125" style="7" customWidth="1"/>
    <col min="7" max="7" width="15.42578125" style="5" customWidth="1"/>
    <col min="8" max="8" width="19" style="5" bestFit="1" customWidth="1"/>
    <col min="9" max="9" width="17.85546875" style="5" customWidth="1"/>
    <col min="10" max="10" width="18.28515625" style="5" customWidth="1"/>
    <col min="11" max="11" width="4.28515625" style="5" customWidth="1"/>
    <col min="12" max="12" width="26.28515625" style="5" customWidth="1"/>
    <col min="13" max="13" width="19.7109375" style="5" customWidth="1"/>
    <col min="14" max="14" width="18.7109375" style="5" customWidth="1"/>
    <col min="15" max="15" width="15.42578125" style="5" bestFit="1" customWidth="1"/>
    <col min="16" max="16384" width="11.5703125" style="5"/>
  </cols>
  <sheetData>
    <row r="1" spans="1:15" s="8" customFormat="1" ht="55.5" customHeight="1" thickBot="1" x14ac:dyDescent="0.25">
      <c r="A1" s="295" t="s">
        <v>96</v>
      </c>
      <c r="B1" s="296"/>
      <c r="C1" s="296"/>
      <c r="D1" s="297"/>
      <c r="F1" s="158" t="s">
        <v>82</v>
      </c>
      <c r="G1" s="298" t="s">
        <v>50</v>
      </c>
      <c r="H1" s="299"/>
      <c r="I1" s="298" t="s">
        <v>54</v>
      </c>
      <c r="J1" s="299"/>
    </row>
    <row r="2" spans="1:15" s="36" customFormat="1" ht="34.5" customHeight="1" x14ac:dyDescent="0.2">
      <c r="A2" s="164" t="s">
        <v>81</v>
      </c>
      <c r="B2" s="293" t="s">
        <v>47</v>
      </c>
      <c r="C2" s="294"/>
      <c r="D2" s="294"/>
      <c r="E2" s="174"/>
      <c r="F2" s="124" t="s">
        <v>83</v>
      </c>
      <c r="G2" s="124" t="s">
        <v>60</v>
      </c>
      <c r="H2" s="124" t="s">
        <v>61</v>
      </c>
      <c r="I2" s="125" t="s">
        <v>52</v>
      </c>
      <c r="J2" s="124" t="s">
        <v>53</v>
      </c>
    </row>
    <row r="3" spans="1:15" s="27" customFormat="1" ht="35.65" customHeight="1" x14ac:dyDescent="0.2">
      <c r="A3" s="139"/>
      <c r="B3" s="65" t="s">
        <v>92</v>
      </c>
      <c r="C3" s="140" t="s">
        <v>79</v>
      </c>
      <c r="D3" s="140" t="s">
        <v>85</v>
      </c>
      <c r="F3" s="141">
        <v>9.82</v>
      </c>
      <c r="G3" s="204">
        <v>1759.5</v>
      </c>
      <c r="H3" s="204">
        <v>4495.5</v>
      </c>
      <c r="I3" s="205">
        <v>1260</v>
      </c>
      <c r="J3" s="205">
        <v>4495.5</v>
      </c>
    </row>
    <row r="4" spans="1:15" s="21" customFormat="1" ht="30.75" customHeight="1" thickBot="1" x14ac:dyDescent="0.25">
      <c r="A4" s="165" t="s">
        <v>80</v>
      </c>
      <c r="B4" s="148">
        <v>31674.720000000001</v>
      </c>
      <c r="C4" s="177">
        <f>B4/12</f>
        <v>2639.56</v>
      </c>
      <c r="D4" s="178">
        <f>B4/14</f>
        <v>2262.48</v>
      </c>
      <c r="F4" s="153"/>
      <c r="G4" s="154"/>
      <c r="H4" s="154"/>
      <c r="I4" s="155"/>
      <c r="J4" s="155"/>
    </row>
    <row r="5" spans="1:15" s="8" customFormat="1" ht="24" customHeight="1" thickBot="1" x14ac:dyDescent="0.25">
      <c r="A5" s="166" t="s">
        <v>71</v>
      </c>
      <c r="B5" s="149">
        <f>B4*56%</f>
        <v>17737.843200000003</v>
      </c>
      <c r="C5" s="149">
        <f>B5/12</f>
        <v>1478.1536000000003</v>
      </c>
      <c r="D5" s="150">
        <f>B5/14</f>
        <v>1266.9888000000003</v>
      </c>
      <c r="F5" s="285" t="s">
        <v>94</v>
      </c>
      <c r="G5" s="285"/>
      <c r="H5" s="285"/>
      <c r="I5" s="210">
        <v>0</v>
      </c>
      <c r="L5" s="285" t="s">
        <v>94</v>
      </c>
      <c r="M5" s="285"/>
      <c r="N5" s="285"/>
      <c r="O5" s="210">
        <v>0</v>
      </c>
    </row>
    <row r="6" spans="1:15" s="8" customFormat="1" ht="24" customHeight="1" x14ac:dyDescent="0.2">
      <c r="A6" s="166" t="s">
        <v>72</v>
      </c>
      <c r="B6" s="149">
        <f>B4*56%</f>
        <v>17737.843200000003</v>
      </c>
      <c r="C6" s="179">
        <f>B6/12</f>
        <v>1478.1536000000003</v>
      </c>
      <c r="D6" s="175">
        <f t="shared" ref="D6:D10" si="0">B6/14</f>
        <v>1266.9888000000003</v>
      </c>
      <c r="F6" s="286" t="s">
        <v>103</v>
      </c>
      <c r="G6" s="287"/>
      <c r="H6" s="287"/>
      <c r="I6" s="288"/>
      <c r="J6" s="157"/>
      <c r="L6" s="286" t="s">
        <v>104</v>
      </c>
      <c r="M6" s="287"/>
      <c r="N6" s="287"/>
      <c r="O6" s="288"/>
    </row>
    <row r="7" spans="1:15" s="8" customFormat="1" ht="24" customHeight="1" thickBot="1" x14ac:dyDescent="0.25">
      <c r="A7" s="166" t="s">
        <v>73</v>
      </c>
      <c r="B7" s="149">
        <f>B4*60%</f>
        <v>19004.831999999999</v>
      </c>
      <c r="C7" s="179">
        <f>B7/12</f>
        <v>1583.7359999999999</v>
      </c>
      <c r="D7" s="175">
        <f t="shared" si="0"/>
        <v>1357.4879999999998</v>
      </c>
      <c r="F7" s="289"/>
      <c r="G7" s="290"/>
      <c r="H7" s="290"/>
      <c r="I7" s="291"/>
      <c r="J7" s="157"/>
      <c r="L7" s="289"/>
      <c r="M7" s="290"/>
      <c r="N7" s="290"/>
      <c r="O7" s="291"/>
    </row>
    <row r="8" spans="1:15" s="8" customFormat="1" ht="24" customHeight="1" thickBot="1" x14ac:dyDescent="0.25">
      <c r="A8" s="166" t="s">
        <v>74</v>
      </c>
      <c r="B8" s="149">
        <f>B4*75%</f>
        <v>23756.04</v>
      </c>
      <c r="C8" s="149">
        <f>B8/12</f>
        <v>1979.67</v>
      </c>
      <c r="D8" s="150">
        <f t="shared" si="0"/>
        <v>1696.8600000000001</v>
      </c>
      <c r="F8" s="117"/>
      <c r="G8" s="135" t="s">
        <v>55</v>
      </c>
      <c r="H8" s="159" t="s">
        <v>56</v>
      </c>
      <c r="I8" s="142" t="s">
        <v>57</v>
      </c>
      <c r="J8" s="215" t="s">
        <v>99</v>
      </c>
      <c r="L8" s="117"/>
      <c r="M8" s="135" t="s">
        <v>55</v>
      </c>
      <c r="N8" s="159" t="s">
        <v>56</v>
      </c>
      <c r="O8" s="142" t="s">
        <v>57</v>
      </c>
    </row>
    <row r="9" spans="1:15" s="8" customFormat="1" ht="15" customHeight="1" x14ac:dyDescent="0.2">
      <c r="A9" s="166"/>
      <c r="B9" s="149"/>
      <c r="C9" s="149"/>
      <c r="D9" s="150"/>
      <c r="F9" s="283" t="s">
        <v>58</v>
      </c>
      <c r="G9" s="251">
        <f>IF($I$5&gt;=$G$3,$I$5,$G$3)</f>
        <v>1759.5</v>
      </c>
      <c r="H9" s="233">
        <v>24.18</v>
      </c>
      <c r="I9" s="251">
        <f>(G9*H9%)</f>
        <v>425.44709999999998</v>
      </c>
      <c r="J9" s="251">
        <f>I9-115</f>
        <v>310.44709999999998</v>
      </c>
      <c r="L9" s="283" t="s">
        <v>58</v>
      </c>
      <c r="M9" s="251">
        <f>IF($O$5&gt;=$G$3,$O$5,$G$3)</f>
        <v>1759.5</v>
      </c>
      <c r="N9" s="233">
        <v>17.100000000000001</v>
      </c>
      <c r="O9" s="251">
        <f>M9*N9%</f>
        <v>300.87450000000001</v>
      </c>
    </row>
    <row r="10" spans="1:15" s="8" customFormat="1" ht="15" customHeight="1" thickBot="1" x14ac:dyDescent="0.25">
      <c r="A10" s="167" t="s">
        <v>75</v>
      </c>
      <c r="B10" s="151">
        <f>(SUM(B5:B8))/4</f>
        <v>19559.139600000002</v>
      </c>
      <c r="C10" s="180">
        <f>(SUM(C5:C8))/4</f>
        <v>1629.9283</v>
      </c>
      <c r="D10" s="176">
        <f t="shared" si="0"/>
        <v>1397.0814000000003</v>
      </c>
      <c r="F10" s="284"/>
      <c r="G10" s="252"/>
      <c r="H10" s="234"/>
      <c r="I10" s="252"/>
      <c r="J10" s="252"/>
      <c r="L10" s="284"/>
      <c r="M10" s="252"/>
      <c r="N10" s="234"/>
      <c r="O10" s="252"/>
    </row>
    <row r="11" spans="1:15" ht="14.25" customHeight="1" x14ac:dyDescent="0.2">
      <c r="F11" s="283" t="s">
        <v>59</v>
      </c>
      <c r="G11" s="251">
        <f>IF($I$5&gt;=$I$3,$I$5,$I$3)</f>
        <v>1260</v>
      </c>
      <c r="H11" s="233">
        <v>9</v>
      </c>
      <c r="I11" s="251">
        <f>G11*H11%</f>
        <v>113.39999999999999</v>
      </c>
      <c r="J11" s="251">
        <f>I11</f>
        <v>113.39999999999999</v>
      </c>
      <c r="L11" s="283" t="s">
        <v>59</v>
      </c>
      <c r="M11" s="251">
        <f>IF($O$5&gt;=$I$3,$O$5,$I$3)</f>
        <v>1260</v>
      </c>
      <c r="N11" s="233">
        <v>9</v>
      </c>
      <c r="O11" s="251">
        <f>M11*N11%</f>
        <v>113.39999999999999</v>
      </c>
    </row>
    <row r="12" spans="1:15" ht="15" thickBot="1" x14ac:dyDescent="0.25">
      <c r="F12" s="284"/>
      <c r="G12" s="252"/>
      <c r="H12" s="234"/>
      <c r="I12" s="252"/>
      <c r="J12" s="252"/>
      <c r="L12" s="284"/>
      <c r="M12" s="252"/>
      <c r="N12" s="234"/>
      <c r="O12" s="252"/>
    </row>
    <row r="13" spans="1:15" ht="24" customHeight="1" thickBot="1" x14ac:dyDescent="0.25">
      <c r="A13" s="227" t="s">
        <v>102</v>
      </c>
      <c r="B13" s="227"/>
      <c r="C13" s="227"/>
      <c r="D13" s="227"/>
      <c r="F13" s="274" t="s">
        <v>84</v>
      </c>
      <c r="G13" s="275"/>
      <c r="H13" s="161">
        <f>SUM(H9:H12)</f>
        <v>33.18</v>
      </c>
      <c r="I13" s="216">
        <f>SUM(I9:I12)</f>
        <v>538.84709999999995</v>
      </c>
      <c r="J13" s="156">
        <f>SUM(J9:J12)</f>
        <v>423.84709999999995</v>
      </c>
      <c r="L13" s="274" t="s">
        <v>84</v>
      </c>
      <c r="M13" s="275"/>
      <c r="N13" s="161">
        <f>SUM(N9:N12)</f>
        <v>26.1</v>
      </c>
      <c r="O13" s="156">
        <f>SUM(O9:O12)</f>
        <v>414.27449999999999</v>
      </c>
    </row>
    <row r="14" spans="1:15" x14ac:dyDescent="0.2">
      <c r="A14" s="227"/>
      <c r="B14" s="227"/>
      <c r="C14" s="227"/>
      <c r="D14" s="227"/>
    </row>
    <row r="15" spans="1:15" x14ac:dyDescent="0.2">
      <c r="A15" s="292" t="s">
        <v>100</v>
      </c>
      <c r="B15" s="292"/>
      <c r="C15" s="292"/>
      <c r="D15" s="292"/>
    </row>
    <row r="16" spans="1:15" ht="54" customHeight="1" thickBot="1" x14ac:dyDescent="0.25">
      <c r="A16" s="292"/>
      <c r="B16" s="292"/>
      <c r="C16" s="292"/>
      <c r="D16" s="292"/>
    </row>
    <row r="17" spans="1:12" ht="28.5" customHeight="1" thickBot="1" x14ac:dyDescent="0.25">
      <c r="A17" s="169"/>
      <c r="B17"/>
      <c r="C17"/>
      <c r="D17"/>
      <c r="F17" s="285" t="s">
        <v>94</v>
      </c>
      <c r="G17" s="285"/>
      <c r="H17" s="285"/>
      <c r="I17" s="210">
        <v>0</v>
      </c>
    </row>
    <row r="18" spans="1:12" ht="42" customHeight="1" thickBot="1" x14ac:dyDescent="0.25">
      <c r="A18" s="181"/>
      <c r="B18" s="304"/>
      <c r="C18" s="304"/>
      <c r="D18" s="170"/>
      <c r="F18" s="305" t="s">
        <v>98</v>
      </c>
      <c r="G18" s="306"/>
      <c r="H18" s="306"/>
      <c r="I18" s="306"/>
      <c r="J18" s="186"/>
      <c r="L18" s="217"/>
    </row>
    <row r="19" spans="1:12" ht="23.25" thickBot="1" x14ac:dyDescent="0.25">
      <c r="A19" s="172"/>
      <c r="B19" s="172"/>
      <c r="C19" s="172"/>
      <c r="D19" s="172"/>
      <c r="F19" s="160"/>
      <c r="G19" s="135" t="s">
        <v>55</v>
      </c>
      <c r="H19" s="159" t="s">
        <v>56</v>
      </c>
      <c r="I19" s="142" t="s">
        <v>57</v>
      </c>
      <c r="J19" s="181"/>
    </row>
    <row r="20" spans="1:12" ht="21" customHeight="1" x14ac:dyDescent="0.2">
      <c r="A20" s="182"/>
      <c r="B20" s="171"/>
      <c r="C20" s="171"/>
      <c r="D20" s="171"/>
      <c r="F20" s="256" t="s">
        <v>58</v>
      </c>
      <c r="G20" s="251">
        <f>IF($I$17&gt;=$G$3,$I$17,$G$3)</f>
        <v>1759.5</v>
      </c>
      <c r="H20" s="231">
        <v>24.18</v>
      </c>
      <c r="I20" s="302">
        <f>G20*H20%</f>
        <v>425.44709999999998</v>
      </c>
      <c r="J20" s="186"/>
    </row>
    <row r="21" spans="1:12" ht="24.75" customHeight="1" thickBot="1" x14ac:dyDescent="0.25">
      <c r="A21" s="182"/>
      <c r="B21" s="171"/>
      <c r="C21" s="171"/>
      <c r="D21" s="171"/>
      <c r="F21" s="257"/>
      <c r="G21" s="252"/>
      <c r="H21" s="232"/>
      <c r="I21" s="303"/>
      <c r="J21" s="186"/>
    </row>
    <row r="22" spans="1:12" ht="20.25" customHeight="1" x14ac:dyDescent="0.2">
      <c r="A22" s="183"/>
      <c r="B22" s="184"/>
      <c r="C22" s="184"/>
      <c r="D22" s="184"/>
      <c r="F22" s="256" t="s">
        <v>59</v>
      </c>
      <c r="G22" s="251">
        <f>IF($I$17&gt;=$I$3,$I$17,$I$3)</f>
        <v>1260</v>
      </c>
      <c r="H22" s="231">
        <v>9</v>
      </c>
      <c r="I22" s="251">
        <f>G22*H22%</f>
        <v>113.39999999999999</v>
      </c>
      <c r="J22" s="181"/>
    </row>
    <row r="23" spans="1:12" ht="14.25" customHeight="1" thickBot="1" x14ac:dyDescent="0.25">
      <c r="A23" s="163"/>
      <c r="B23" s="163"/>
      <c r="C23" s="173"/>
      <c r="D23" s="173"/>
      <c r="F23" s="257"/>
      <c r="G23" s="252"/>
      <c r="H23" s="232"/>
      <c r="I23" s="252"/>
      <c r="J23" s="181"/>
    </row>
    <row r="24" spans="1:12" ht="25.5" customHeight="1" thickBot="1" x14ac:dyDescent="0.25">
      <c r="A24" s="163"/>
      <c r="B24" s="163"/>
      <c r="C24" s="173"/>
      <c r="D24" s="173"/>
      <c r="F24" s="274" t="s">
        <v>86</v>
      </c>
      <c r="G24" s="275"/>
      <c r="H24" s="161">
        <f>(H20+H22)</f>
        <v>33.18</v>
      </c>
      <c r="I24" s="187">
        <f>(I20+I22)</f>
        <v>538.84709999999995</v>
      </c>
      <c r="J24" s="186"/>
    </row>
    <row r="25" spans="1:12" ht="26.25" customHeight="1" x14ac:dyDescent="0.2">
      <c r="A25" s="183"/>
      <c r="B25" s="184"/>
      <c r="C25" s="184"/>
      <c r="D25" s="184"/>
    </row>
    <row r="26" spans="1:12" ht="20.25" customHeight="1" x14ac:dyDescent="0.2">
      <c r="A26" s="163"/>
      <c r="B26" s="163"/>
      <c r="C26" s="185"/>
      <c r="D26" s="185"/>
      <c r="F26" s="301" t="s">
        <v>67</v>
      </c>
      <c r="G26" s="301"/>
      <c r="H26" s="301"/>
      <c r="I26" s="300" t="s">
        <v>97</v>
      </c>
    </row>
    <row r="27" spans="1:12" ht="20.65" customHeight="1" x14ac:dyDescent="0.2">
      <c r="A27" s="163"/>
      <c r="B27" s="163"/>
      <c r="C27" s="185"/>
      <c r="D27" s="185"/>
      <c r="F27" s="301"/>
      <c r="G27" s="301"/>
      <c r="H27" s="301"/>
      <c r="I27" s="300"/>
    </row>
    <row r="29" spans="1:12" x14ac:dyDescent="0.2">
      <c r="H29" s="162"/>
    </row>
  </sheetData>
  <sheetProtection algorithmName="SHA-512" hashValue="zpvt54vK2dZFgNAiUHxqb1eE5Jeljc6VotDJ8tAQozQDMJjzRZYb+AAsLfvRBBFhElEGlPfB1+PHfWJmssqfzw==" saltValue="3WuKDvSq0K9ootjbrJs+9Q==" spinCount="100000" sheet="1" objects="1" scenarios="1"/>
  <protectedRanges>
    <protectedRange sqref="I26" name="CALCULO RC"/>
    <protectedRange sqref="C26:D26" name="RET PRACTICAS"/>
    <protectedRange sqref="C23:D23" name="DED"/>
    <protectedRange sqref="I5 O5" name="RET PREDOC_1"/>
    <protectedRange sqref="I17" name="RET PREDOC_2"/>
  </protectedRanges>
  <mergeCells count="44">
    <mergeCell ref="B18:C18"/>
    <mergeCell ref="F17:H17"/>
    <mergeCell ref="F18:I18"/>
    <mergeCell ref="H20:H21"/>
    <mergeCell ref="G20:G21"/>
    <mergeCell ref="F20:F21"/>
    <mergeCell ref="I26:I27"/>
    <mergeCell ref="F26:H27"/>
    <mergeCell ref="I20:I21"/>
    <mergeCell ref="I22:I23"/>
    <mergeCell ref="F24:G24"/>
    <mergeCell ref="H22:H23"/>
    <mergeCell ref="G22:G23"/>
    <mergeCell ref="F22:F23"/>
    <mergeCell ref="I11:I12"/>
    <mergeCell ref="F9:F10"/>
    <mergeCell ref="F11:F12"/>
    <mergeCell ref="H9:H10"/>
    <mergeCell ref="I9:I10"/>
    <mergeCell ref="H11:H12"/>
    <mergeCell ref="I1:J1"/>
    <mergeCell ref="G1:H1"/>
    <mergeCell ref="G9:G10"/>
    <mergeCell ref="F5:H5"/>
    <mergeCell ref="F6:I7"/>
    <mergeCell ref="J9:J10"/>
    <mergeCell ref="A15:D16"/>
    <mergeCell ref="B2:D2"/>
    <mergeCell ref="A1:D1"/>
    <mergeCell ref="F13:G13"/>
    <mergeCell ref="G11:G12"/>
    <mergeCell ref="A13:D14"/>
    <mergeCell ref="L13:M13"/>
    <mergeCell ref="L5:N5"/>
    <mergeCell ref="L6:O7"/>
    <mergeCell ref="L9:L10"/>
    <mergeCell ref="M9:M10"/>
    <mergeCell ref="N9:N10"/>
    <mergeCell ref="O9:O10"/>
    <mergeCell ref="J11:J12"/>
    <mergeCell ref="L11:L12"/>
    <mergeCell ref="M11:M12"/>
    <mergeCell ref="N11:N12"/>
    <mergeCell ref="O11:O12"/>
  </mergeCells>
  <hyperlinks>
    <hyperlink ref="I26:I27" r:id="rId1" display="CALCULO RC E INDEMNIZACION" xr:uid="{00000000-0004-0000-02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="98" zoomScaleNormal="98" workbookViewId="0">
      <selection activeCell="L10" sqref="L10"/>
    </sheetView>
  </sheetViews>
  <sheetFormatPr baseColWidth="10" defaultColWidth="11.5703125" defaultRowHeight="14.25" x14ac:dyDescent="0.2"/>
  <cols>
    <col min="1" max="1" width="18.42578125" style="4" customWidth="1"/>
    <col min="2" max="2" width="28.5703125" style="68" customWidth="1"/>
    <col min="3" max="3" width="11.7109375" style="69" hidden="1" customWidth="1"/>
    <col min="4" max="4" width="26.710937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17.7109375" style="7" customWidth="1"/>
    <col min="10" max="10" width="20.42578125" style="5" customWidth="1"/>
    <col min="11" max="11" width="19.42578125" style="5" customWidth="1"/>
    <col min="12" max="12" width="17.42578125" style="5" customWidth="1"/>
    <col min="13" max="13" width="15.42578125" style="5" customWidth="1"/>
    <col min="14" max="16384" width="11.5703125" style="5"/>
  </cols>
  <sheetData>
    <row r="1" spans="1:15" s="8" customFormat="1" ht="43.9" customHeight="1" x14ac:dyDescent="0.2">
      <c r="A1" s="264" t="s">
        <v>111</v>
      </c>
      <c r="B1" s="265"/>
      <c r="C1" s="265"/>
      <c r="D1" s="265"/>
      <c r="E1" s="265"/>
      <c r="F1" s="265"/>
      <c r="G1" s="265"/>
      <c r="I1" s="260" t="s">
        <v>115</v>
      </c>
      <c r="J1" s="261"/>
      <c r="K1" s="261"/>
      <c r="L1" s="261"/>
      <c r="M1" s="262"/>
    </row>
    <row r="2" spans="1:15" s="36" customFormat="1" ht="24.75" customHeight="1" x14ac:dyDescent="0.2">
      <c r="A2" s="44"/>
      <c r="B2" s="307" t="s">
        <v>47</v>
      </c>
      <c r="C2" s="307"/>
      <c r="D2" s="308"/>
      <c r="E2" s="42"/>
      <c r="F2" s="307" t="s">
        <v>48</v>
      </c>
      <c r="G2" s="308"/>
      <c r="I2" s="266" t="s">
        <v>50</v>
      </c>
      <c r="J2" s="266"/>
      <c r="K2" s="266"/>
      <c r="L2" s="266" t="s">
        <v>54</v>
      </c>
      <c r="M2" s="266"/>
    </row>
    <row r="3" spans="1:15" s="27" customFormat="1" ht="38.25" x14ac:dyDescent="0.2">
      <c r="A3" s="43" t="s">
        <v>45</v>
      </c>
      <c r="B3" s="65" t="s">
        <v>46</v>
      </c>
      <c r="C3" s="66" t="s">
        <v>15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  <c r="O3" s="124"/>
    </row>
    <row r="4" spans="1:15" ht="15" customHeight="1" x14ac:dyDescent="0.2">
      <c r="A4" s="37">
        <v>37.5</v>
      </c>
      <c r="B4" s="71">
        <f>PARAMETROS!B5</f>
        <v>1708.2224406132002</v>
      </c>
      <c r="C4" s="72"/>
      <c r="D4" s="71"/>
      <c r="E4" s="37">
        <v>37.5</v>
      </c>
      <c r="F4" s="71">
        <f>PARAMETROS!C5</f>
        <v>2220.6895189289003</v>
      </c>
      <c r="G4" s="71">
        <f>IF(F4&gt;$K$4,$K$4*$K$18%,F4*$K$18%)</f>
        <v>738.82340294764504</v>
      </c>
      <c r="I4" s="267">
        <v>1</v>
      </c>
      <c r="J4" s="268">
        <v>1929</v>
      </c>
      <c r="K4" s="268">
        <v>4909.5</v>
      </c>
      <c r="L4" s="272">
        <v>1381.2</v>
      </c>
      <c r="M4" s="268">
        <v>4909.5</v>
      </c>
      <c r="N4" s="8"/>
    </row>
    <row r="5" spans="1:15" ht="15" customHeight="1" x14ac:dyDescent="0.2">
      <c r="A5" s="38">
        <v>36</v>
      </c>
      <c r="B5" s="73">
        <f>PRODUCT(B$4,A5)/A$4</f>
        <v>1639.8935429886724</v>
      </c>
      <c r="C5" s="74">
        <f t="shared" ref="C5:C40" si="0">(A5/$A$4*7.5*5)/7*30*$C$47</f>
        <v>1792.8000000000002</v>
      </c>
      <c r="D5" s="73">
        <f>IF(B5&lt;C5,C5*$K$18%,B5*$K$18%)</f>
        <v>596.46456000000001</v>
      </c>
      <c r="E5" s="38">
        <v>36</v>
      </c>
      <c r="F5" s="73">
        <f>PRODUCT(F$4,E5)/E$4</f>
        <v>2131.861938171744</v>
      </c>
      <c r="G5" s="73">
        <f t="shared" ref="G5:G40" si="1">IF(F5&gt;$K$4,$K$4*$K$18%,F5*$K$18%)</f>
        <v>709.27046682973912</v>
      </c>
      <c r="I5" s="267"/>
      <c r="J5" s="269"/>
      <c r="K5" s="269"/>
      <c r="L5" s="273"/>
      <c r="M5" s="269"/>
      <c r="N5" s="8"/>
    </row>
    <row r="6" spans="1:15" ht="15" customHeight="1" x14ac:dyDescent="0.2">
      <c r="A6" s="38">
        <v>35</v>
      </c>
      <c r="B6" s="73">
        <f t="shared" ref="B6:B40" si="2">PRODUCT(B$4,A6)/A$4</f>
        <v>1594.3409445723203</v>
      </c>
      <c r="C6" s="74">
        <f t="shared" si="0"/>
        <v>1742.9999999999998</v>
      </c>
      <c r="D6" s="73">
        <f t="shared" ref="D6:D40" si="3">IF(B6&lt;C6,C6*$K$18%,B6*$K$18%)</f>
        <v>579.89609999999982</v>
      </c>
      <c r="E6" s="38">
        <v>35</v>
      </c>
      <c r="F6" s="73">
        <f t="shared" ref="F6:F40" si="4">PRODUCT(F$4,E6)/E$4</f>
        <v>2072.6435510003071</v>
      </c>
      <c r="G6" s="73">
        <f t="shared" si="1"/>
        <v>689.56850941780203</v>
      </c>
      <c r="I6" s="35"/>
      <c r="J6" s="8"/>
      <c r="K6" s="8"/>
      <c r="L6" s="115"/>
      <c r="M6" s="8"/>
      <c r="N6" s="8"/>
    </row>
    <row r="7" spans="1:15" ht="15" customHeight="1" thickBot="1" x14ac:dyDescent="0.25">
      <c r="A7" s="38">
        <v>34</v>
      </c>
      <c r="B7" s="73">
        <f t="shared" si="2"/>
        <v>1548.7883461559682</v>
      </c>
      <c r="C7" s="74">
        <f t="shared" si="0"/>
        <v>1693.1999999999996</v>
      </c>
      <c r="D7" s="73">
        <f t="shared" si="3"/>
        <v>563.32763999999975</v>
      </c>
      <c r="E7" s="38">
        <v>34</v>
      </c>
      <c r="F7" s="73">
        <f t="shared" si="4"/>
        <v>2013.4251638288695</v>
      </c>
      <c r="G7" s="73">
        <f t="shared" si="1"/>
        <v>669.86655200586472</v>
      </c>
      <c r="I7" s="35"/>
      <c r="J7" s="19"/>
      <c r="K7" s="8"/>
      <c r="L7" s="115"/>
      <c r="M7" s="8"/>
      <c r="N7" s="8"/>
    </row>
    <row r="8" spans="1:15" ht="15" customHeight="1" x14ac:dyDescent="0.2">
      <c r="A8" s="38">
        <v>33</v>
      </c>
      <c r="B8" s="73">
        <f t="shared" si="2"/>
        <v>1503.2357477396163</v>
      </c>
      <c r="C8" s="74">
        <f t="shared" si="0"/>
        <v>1643.4</v>
      </c>
      <c r="D8" s="73">
        <f t="shared" si="3"/>
        <v>546.7591799999999</v>
      </c>
      <c r="E8" s="38">
        <v>33</v>
      </c>
      <c r="F8" s="73">
        <f t="shared" si="4"/>
        <v>1954.2067766574323</v>
      </c>
      <c r="G8" s="73">
        <f t="shared" si="1"/>
        <v>650.16459459392763</v>
      </c>
      <c r="I8" s="237" t="s">
        <v>87</v>
      </c>
      <c r="J8" s="237"/>
      <c r="K8" s="238"/>
      <c r="L8" s="241">
        <v>0</v>
      </c>
      <c r="M8" s="8"/>
      <c r="N8" s="8"/>
    </row>
    <row r="9" spans="1:15" ht="15" customHeight="1" thickBot="1" x14ac:dyDescent="0.25">
      <c r="A9" s="38">
        <v>32</v>
      </c>
      <c r="B9" s="73">
        <f t="shared" si="2"/>
        <v>1457.6831493232642</v>
      </c>
      <c r="C9" s="74">
        <f t="shared" si="0"/>
        <v>1593.6</v>
      </c>
      <c r="D9" s="73">
        <f t="shared" si="3"/>
        <v>530.19071999999983</v>
      </c>
      <c r="E9" s="38">
        <v>32</v>
      </c>
      <c r="F9" s="73">
        <f t="shared" si="4"/>
        <v>1894.988389485995</v>
      </c>
      <c r="G9" s="73">
        <f t="shared" si="1"/>
        <v>630.46263718199043</v>
      </c>
      <c r="I9" s="237"/>
      <c r="J9" s="237"/>
      <c r="K9" s="238"/>
      <c r="L9" s="242"/>
      <c r="M9" s="8"/>
      <c r="N9" s="8"/>
    </row>
    <row r="10" spans="1:15" ht="15" customHeight="1" thickBot="1" x14ac:dyDescent="0.25">
      <c r="A10" s="38">
        <v>31</v>
      </c>
      <c r="B10" s="73">
        <f t="shared" si="2"/>
        <v>1412.130550906912</v>
      </c>
      <c r="C10" s="74">
        <f t="shared" si="0"/>
        <v>1543.8</v>
      </c>
      <c r="D10" s="73">
        <f t="shared" si="3"/>
        <v>513.62225999999987</v>
      </c>
      <c r="E10" s="38">
        <v>31</v>
      </c>
      <c r="F10" s="73">
        <f t="shared" si="4"/>
        <v>1835.7700023145574</v>
      </c>
      <c r="G10" s="73">
        <f t="shared" si="1"/>
        <v>610.76067977005312</v>
      </c>
      <c r="I10" s="120"/>
      <c r="J10" s="121"/>
      <c r="K10" s="122"/>
      <c r="L10" s="123"/>
      <c r="M10" s="8"/>
      <c r="N10" s="8"/>
    </row>
    <row r="11" spans="1:15" ht="15" customHeight="1" x14ac:dyDescent="0.2">
      <c r="A11" s="38">
        <v>30</v>
      </c>
      <c r="B11" s="73">
        <f t="shared" si="2"/>
        <v>1366.5779524905602</v>
      </c>
      <c r="C11" s="74">
        <f t="shared" si="0"/>
        <v>1493.9999999999998</v>
      </c>
      <c r="D11" s="73">
        <f t="shared" si="3"/>
        <v>497.05379999999985</v>
      </c>
      <c r="E11" s="38">
        <v>30</v>
      </c>
      <c r="F11" s="73">
        <f t="shared" si="4"/>
        <v>1776.5516151431202</v>
      </c>
      <c r="G11" s="73">
        <f t="shared" si="1"/>
        <v>591.05872235811603</v>
      </c>
      <c r="I11" s="243" t="s">
        <v>62</v>
      </c>
      <c r="J11" s="244"/>
      <c r="K11" s="244"/>
      <c r="L11" s="245"/>
      <c r="M11" s="8"/>
      <c r="N11" s="8"/>
    </row>
    <row r="12" spans="1:15" ht="15" customHeight="1" thickBot="1" x14ac:dyDescent="0.25">
      <c r="A12" s="38">
        <v>29</v>
      </c>
      <c r="B12" s="73">
        <f t="shared" si="2"/>
        <v>1321.0253540742081</v>
      </c>
      <c r="C12" s="74">
        <f t="shared" si="0"/>
        <v>1444.2</v>
      </c>
      <c r="D12" s="73">
        <f t="shared" si="3"/>
        <v>480.48533999999995</v>
      </c>
      <c r="E12" s="38">
        <v>29</v>
      </c>
      <c r="F12" s="73">
        <f t="shared" si="4"/>
        <v>1717.3332279716828</v>
      </c>
      <c r="G12" s="73">
        <f t="shared" si="1"/>
        <v>571.35676494617883</v>
      </c>
      <c r="I12" s="246"/>
      <c r="J12" s="247"/>
      <c r="K12" s="247"/>
      <c r="L12" s="248"/>
      <c r="M12" s="8"/>
      <c r="N12" s="8"/>
    </row>
    <row r="13" spans="1:15" ht="15" customHeight="1" thickBot="1" x14ac:dyDescent="0.25">
      <c r="A13" s="38">
        <v>28</v>
      </c>
      <c r="B13" s="73">
        <f t="shared" si="2"/>
        <v>1275.4727556578562</v>
      </c>
      <c r="C13" s="74">
        <f t="shared" si="0"/>
        <v>1394.4000000000003</v>
      </c>
      <c r="D13" s="73">
        <f t="shared" si="3"/>
        <v>463.91688000000005</v>
      </c>
      <c r="E13" s="38">
        <v>28</v>
      </c>
      <c r="F13" s="73">
        <f t="shared" si="4"/>
        <v>1658.1148408002455</v>
      </c>
      <c r="G13" s="73">
        <f t="shared" si="1"/>
        <v>551.65480753424163</v>
      </c>
      <c r="I13" s="117"/>
      <c r="J13" s="135" t="s">
        <v>55</v>
      </c>
      <c r="K13" s="133" t="s">
        <v>56</v>
      </c>
      <c r="L13" s="142" t="s">
        <v>57</v>
      </c>
      <c r="M13" s="8"/>
      <c r="N13" s="8"/>
    </row>
    <row r="14" spans="1:15" ht="15" customHeight="1" x14ac:dyDescent="0.2">
      <c r="A14" s="38">
        <v>27</v>
      </c>
      <c r="B14" s="73">
        <f t="shared" si="2"/>
        <v>1229.9201572415041</v>
      </c>
      <c r="C14" s="74">
        <f t="shared" si="0"/>
        <v>1344.6</v>
      </c>
      <c r="D14" s="73">
        <f t="shared" si="3"/>
        <v>447.34841999999986</v>
      </c>
      <c r="E14" s="38">
        <v>27</v>
      </c>
      <c r="F14" s="73">
        <f t="shared" si="4"/>
        <v>1598.8964536288081</v>
      </c>
      <c r="G14" s="73">
        <f t="shared" si="1"/>
        <v>531.95285012230431</v>
      </c>
      <c r="I14" s="249" t="s">
        <v>58</v>
      </c>
      <c r="J14" s="251">
        <f>IF(L8&gt;=J4,L8,J4)</f>
        <v>1929</v>
      </c>
      <c r="K14" s="253">
        <v>24.27</v>
      </c>
      <c r="L14" s="258">
        <f>J14*K14%</f>
        <v>468.16829999999999</v>
      </c>
      <c r="M14" s="8"/>
      <c r="N14" s="8"/>
    </row>
    <row r="15" spans="1:15" ht="15" customHeight="1" thickBot="1" x14ac:dyDescent="0.25">
      <c r="A15" s="38">
        <v>26</v>
      </c>
      <c r="B15" s="73">
        <f t="shared" si="2"/>
        <v>1184.3675588251522</v>
      </c>
      <c r="C15" s="74">
        <f t="shared" si="0"/>
        <v>1294.8</v>
      </c>
      <c r="D15" s="73">
        <f t="shared" si="3"/>
        <v>430.7799599999999</v>
      </c>
      <c r="E15" s="38">
        <v>26</v>
      </c>
      <c r="F15" s="73">
        <f t="shared" si="4"/>
        <v>1539.678066457371</v>
      </c>
      <c r="G15" s="73">
        <f t="shared" si="1"/>
        <v>512.25089271036722</v>
      </c>
      <c r="I15" s="250"/>
      <c r="J15" s="252"/>
      <c r="K15" s="254"/>
      <c r="L15" s="259"/>
      <c r="M15" s="8"/>
      <c r="N15" s="8"/>
    </row>
    <row r="16" spans="1:15" ht="15" customHeight="1" x14ac:dyDescent="0.2">
      <c r="A16" s="38">
        <v>25</v>
      </c>
      <c r="B16" s="73">
        <f t="shared" si="2"/>
        <v>1138.8149604088003</v>
      </c>
      <c r="C16" s="74">
        <f t="shared" si="0"/>
        <v>1245</v>
      </c>
      <c r="D16" s="73">
        <f t="shared" si="3"/>
        <v>414.21149999999994</v>
      </c>
      <c r="E16" s="38">
        <v>25</v>
      </c>
      <c r="F16" s="73">
        <f t="shared" si="4"/>
        <v>1480.4596792859336</v>
      </c>
      <c r="G16" s="73">
        <f t="shared" si="1"/>
        <v>492.54893529843002</v>
      </c>
      <c r="I16" s="256" t="s">
        <v>59</v>
      </c>
      <c r="J16" s="251">
        <f>IF(L8&gt;=L4,L8,L4)</f>
        <v>1381.2</v>
      </c>
      <c r="K16" s="253">
        <v>9</v>
      </c>
      <c r="L16" s="235">
        <f>J16*K16%</f>
        <v>124.30799999999999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1093.2623619924482</v>
      </c>
      <c r="C17" s="74">
        <f t="shared" si="0"/>
        <v>1195.1999999999998</v>
      </c>
      <c r="D17" s="73">
        <f t="shared" si="3"/>
        <v>397.64303999999987</v>
      </c>
      <c r="E17" s="38">
        <v>24</v>
      </c>
      <c r="F17" s="73">
        <f t="shared" si="4"/>
        <v>1421.241292114496</v>
      </c>
      <c r="G17" s="73">
        <f t="shared" si="1"/>
        <v>472.84697788649271</v>
      </c>
      <c r="I17" s="257"/>
      <c r="J17" s="252"/>
      <c r="K17" s="254">
        <v>0.2</v>
      </c>
      <c r="L17" s="255"/>
      <c r="M17" s="8"/>
      <c r="N17" s="8"/>
    </row>
    <row r="18" spans="1:14" ht="16.5" customHeight="1" thickBot="1" x14ac:dyDescent="0.25">
      <c r="A18" s="38">
        <v>23</v>
      </c>
      <c r="B18" s="73">
        <f t="shared" si="2"/>
        <v>1047.7097635760961</v>
      </c>
      <c r="C18" s="74">
        <f t="shared" si="0"/>
        <v>1145.3999999999999</v>
      </c>
      <c r="D18" s="73">
        <f t="shared" si="3"/>
        <v>381.07457999999991</v>
      </c>
      <c r="E18" s="38">
        <v>23</v>
      </c>
      <c r="F18" s="73">
        <f t="shared" si="4"/>
        <v>1362.0229049430588</v>
      </c>
      <c r="G18" s="73">
        <f t="shared" si="1"/>
        <v>453.14502047455562</v>
      </c>
      <c r="I18" s="274" t="s">
        <v>63</v>
      </c>
      <c r="J18" s="275"/>
      <c r="K18" s="134">
        <f>(K14+K16)</f>
        <v>33.269999999999996</v>
      </c>
      <c r="L18" s="130">
        <f>SUM(L14:L17)</f>
        <v>592.47630000000004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1002.1571651597442</v>
      </c>
      <c r="C19" s="74">
        <f t="shared" si="0"/>
        <v>1095.5999999999999</v>
      </c>
      <c r="D19" s="73">
        <f t="shared" si="3"/>
        <v>364.5061199999999</v>
      </c>
      <c r="E19" s="38">
        <v>22</v>
      </c>
      <c r="F19" s="73">
        <f t="shared" si="4"/>
        <v>1302.8045177716215</v>
      </c>
      <c r="G19" s="73">
        <f t="shared" si="1"/>
        <v>433.44306306261836</v>
      </c>
      <c r="I19" s="126"/>
      <c r="J19" s="127"/>
      <c r="K19" s="128"/>
      <c r="L19" s="129"/>
      <c r="M19" s="8"/>
      <c r="N19" s="8"/>
    </row>
    <row r="20" spans="1:14" ht="15" customHeight="1" x14ac:dyDescent="0.2">
      <c r="A20" s="38">
        <v>21</v>
      </c>
      <c r="B20" s="73">
        <f t="shared" si="2"/>
        <v>956.60456674339207</v>
      </c>
      <c r="C20" s="74">
        <f t="shared" si="0"/>
        <v>1045.8</v>
      </c>
      <c r="D20" s="73">
        <f t="shared" si="3"/>
        <v>347.93765999999994</v>
      </c>
      <c r="E20" s="38">
        <v>21</v>
      </c>
      <c r="F20" s="73">
        <f t="shared" si="4"/>
        <v>1243.5861306001841</v>
      </c>
      <c r="G20" s="73">
        <f t="shared" si="1"/>
        <v>413.74110565068116</v>
      </c>
      <c r="I20" s="278" t="s">
        <v>77</v>
      </c>
      <c r="J20" s="278"/>
      <c r="K20" s="278"/>
      <c r="L20" s="278"/>
      <c r="M20" s="278"/>
      <c r="N20" s="278"/>
    </row>
    <row r="21" spans="1:14" ht="15" customHeight="1" x14ac:dyDescent="0.2">
      <c r="A21" s="38">
        <v>20</v>
      </c>
      <c r="B21" s="73">
        <f t="shared" si="2"/>
        <v>911.05196832704007</v>
      </c>
      <c r="C21" s="74">
        <f t="shared" si="0"/>
        <v>996</v>
      </c>
      <c r="D21" s="73">
        <f t="shared" si="3"/>
        <v>331.36919999999992</v>
      </c>
      <c r="E21" s="38">
        <v>20</v>
      </c>
      <c r="F21" s="73">
        <f t="shared" si="4"/>
        <v>1184.367743428747</v>
      </c>
      <c r="G21" s="73">
        <f t="shared" si="1"/>
        <v>394.03914823874402</v>
      </c>
      <c r="I21" s="278"/>
      <c r="J21" s="278"/>
      <c r="K21" s="278"/>
      <c r="L21" s="278"/>
      <c r="M21" s="278"/>
      <c r="N21" s="278"/>
    </row>
    <row r="22" spans="1:14" ht="15" customHeight="1" thickBot="1" x14ac:dyDescent="0.25">
      <c r="A22" s="38">
        <v>19</v>
      </c>
      <c r="B22" s="73">
        <f t="shared" si="2"/>
        <v>865.49936991068807</v>
      </c>
      <c r="C22" s="74">
        <f t="shared" si="0"/>
        <v>946.19999999999993</v>
      </c>
      <c r="D22" s="73">
        <f t="shared" si="3"/>
        <v>314.80073999999991</v>
      </c>
      <c r="E22" s="38">
        <v>19</v>
      </c>
      <c r="F22" s="73">
        <f t="shared" si="4"/>
        <v>1125.1493562573096</v>
      </c>
      <c r="G22" s="73">
        <f t="shared" si="1"/>
        <v>374.33719082680682</v>
      </c>
      <c r="I22" s="35"/>
      <c r="J22" s="19"/>
      <c r="K22" s="8"/>
      <c r="L22" s="115"/>
      <c r="M22" s="8"/>
      <c r="N22" s="8"/>
    </row>
    <row r="23" spans="1:14" ht="15" customHeight="1" x14ac:dyDescent="0.2">
      <c r="A23" s="38">
        <v>18</v>
      </c>
      <c r="B23" s="73">
        <f t="shared" si="2"/>
        <v>819.94677149433619</v>
      </c>
      <c r="C23" s="74">
        <f t="shared" si="0"/>
        <v>896.40000000000009</v>
      </c>
      <c r="D23" s="73">
        <f t="shared" si="3"/>
        <v>298.23228</v>
      </c>
      <c r="E23" s="38">
        <v>18</v>
      </c>
      <c r="F23" s="73">
        <f t="shared" si="4"/>
        <v>1065.930969085872</v>
      </c>
      <c r="G23" s="73">
        <f t="shared" si="1"/>
        <v>354.63523341486956</v>
      </c>
      <c r="I23" s="237" t="s">
        <v>64</v>
      </c>
      <c r="J23" s="237"/>
      <c r="K23" s="238"/>
      <c r="L23" s="239">
        <v>0</v>
      </c>
      <c r="M23" s="8"/>
      <c r="N23" s="8"/>
    </row>
    <row r="24" spans="1:14" ht="15" customHeight="1" thickBot="1" x14ac:dyDescent="0.25">
      <c r="A24" s="38">
        <v>17</v>
      </c>
      <c r="B24" s="73">
        <f t="shared" si="2"/>
        <v>774.39417307798408</v>
      </c>
      <c r="C24" s="74">
        <f t="shared" si="0"/>
        <v>846.5999999999998</v>
      </c>
      <c r="D24" s="73">
        <f t="shared" si="3"/>
        <v>281.66381999999987</v>
      </c>
      <c r="E24" s="38">
        <v>17</v>
      </c>
      <c r="F24" s="73">
        <f t="shared" si="4"/>
        <v>1006.7125819144347</v>
      </c>
      <c r="G24" s="73">
        <f t="shared" si="1"/>
        <v>334.93327600293236</v>
      </c>
      <c r="I24" s="237"/>
      <c r="J24" s="237"/>
      <c r="K24" s="238"/>
      <c r="L24" s="240"/>
      <c r="M24" s="8"/>
      <c r="N24" s="8"/>
    </row>
    <row r="25" spans="1:14" ht="15" customHeight="1" thickBot="1" x14ac:dyDescent="0.25">
      <c r="A25" s="38">
        <v>16</v>
      </c>
      <c r="B25" s="73">
        <f t="shared" si="2"/>
        <v>728.84157466163208</v>
      </c>
      <c r="C25" s="74">
        <f t="shared" si="0"/>
        <v>796.8</v>
      </c>
      <c r="D25" s="73">
        <f t="shared" si="3"/>
        <v>265.09535999999991</v>
      </c>
      <c r="E25" s="38">
        <v>16</v>
      </c>
      <c r="F25" s="73">
        <f t="shared" si="4"/>
        <v>947.49419474299748</v>
      </c>
      <c r="G25" s="73">
        <f t="shared" si="1"/>
        <v>315.23131859099522</v>
      </c>
      <c r="I25" s="35"/>
      <c r="J25" s="19"/>
      <c r="K25" s="8"/>
      <c r="L25" s="115"/>
      <c r="M25" s="8"/>
      <c r="N25" s="8"/>
    </row>
    <row r="26" spans="1:14" ht="15" customHeight="1" x14ac:dyDescent="0.2">
      <c r="A26" s="38">
        <v>15</v>
      </c>
      <c r="B26" s="73">
        <f t="shared" si="2"/>
        <v>683.28897624528008</v>
      </c>
      <c r="C26" s="74">
        <f t="shared" si="0"/>
        <v>746.99999999999989</v>
      </c>
      <c r="D26" s="73">
        <f t="shared" si="3"/>
        <v>248.52689999999993</v>
      </c>
      <c r="E26" s="38">
        <v>15</v>
      </c>
      <c r="F26" s="73">
        <f t="shared" si="4"/>
        <v>888.27580757156011</v>
      </c>
      <c r="G26" s="73">
        <f t="shared" si="1"/>
        <v>295.52936117905801</v>
      </c>
      <c r="I26" s="237" t="s">
        <v>68</v>
      </c>
      <c r="J26" s="237"/>
      <c r="K26" s="238"/>
      <c r="L26" s="241">
        <v>0</v>
      </c>
      <c r="M26" s="8"/>
      <c r="N26" s="8"/>
    </row>
    <row r="27" spans="1:14" ht="15" customHeight="1" thickBot="1" x14ac:dyDescent="0.25">
      <c r="A27" s="38">
        <v>14</v>
      </c>
      <c r="B27" s="73">
        <f t="shared" si="2"/>
        <v>637.73637782892808</v>
      </c>
      <c r="C27" s="74">
        <f t="shared" si="0"/>
        <v>697.20000000000016</v>
      </c>
      <c r="D27" s="73">
        <f t="shared" si="3"/>
        <v>231.95844000000002</v>
      </c>
      <c r="E27" s="38">
        <v>14</v>
      </c>
      <c r="F27" s="73">
        <f t="shared" si="4"/>
        <v>829.05742040012274</v>
      </c>
      <c r="G27" s="73">
        <f t="shared" si="1"/>
        <v>275.82740376712081</v>
      </c>
      <c r="I27" s="237"/>
      <c r="J27" s="237"/>
      <c r="K27" s="238"/>
      <c r="L27" s="242"/>
      <c r="M27" s="8"/>
      <c r="N27" s="8"/>
    </row>
    <row r="28" spans="1:14" ht="15" customHeight="1" thickBot="1" x14ac:dyDescent="0.25">
      <c r="A28" s="38">
        <v>13</v>
      </c>
      <c r="B28" s="73">
        <f t="shared" si="2"/>
        <v>592.18377941257609</v>
      </c>
      <c r="C28" s="74">
        <f t="shared" si="0"/>
        <v>647.4</v>
      </c>
      <c r="D28" s="73">
        <f t="shared" si="3"/>
        <v>215.38997999999995</v>
      </c>
      <c r="E28" s="38">
        <v>13</v>
      </c>
      <c r="F28" s="73">
        <f t="shared" si="4"/>
        <v>769.83903322868548</v>
      </c>
      <c r="G28" s="73">
        <f t="shared" si="1"/>
        <v>256.12544635518361</v>
      </c>
      <c r="I28" s="35"/>
      <c r="J28" s="19"/>
      <c r="K28" s="8"/>
      <c r="L28" s="115"/>
      <c r="M28" s="8"/>
      <c r="N28" s="8"/>
    </row>
    <row r="29" spans="1:14" ht="15" customHeight="1" x14ac:dyDescent="0.2">
      <c r="A29" s="38">
        <v>12</v>
      </c>
      <c r="B29" s="73">
        <f t="shared" si="2"/>
        <v>546.63118099622409</v>
      </c>
      <c r="C29" s="74">
        <f t="shared" si="0"/>
        <v>597.59999999999991</v>
      </c>
      <c r="D29" s="73">
        <f t="shared" si="3"/>
        <v>198.82151999999994</v>
      </c>
      <c r="E29" s="38">
        <v>12</v>
      </c>
      <c r="F29" s="73">
        <f t="shared" si="4"/>
        <v>710.620646057248</v>
      </c>
      <c r="G29" s="73">
        <f t="shared" si="1"/>
        <v>236.42348894324635</v>
      </c>
      <c r="I29" s="243" t="s">
        <v>65</v>
      </c>
      <c r="J29" s="244"/>
      <c r="K29" s="244"/>
      <c r="L29" s="245"/>
      <c r="M29" s="8"/>
      <c r="N29" s="8"/>
    </row>
    <row r="30" spans="1:14" ht="15" customHeight="1" thickBot="1" x14ac:dyDescent="0.25">
      <c r="A30" s="38">
        <v>11</v>
      </c>
      <c r="B30" s="73">
        <f t="shared" si="2"/>
        <v>501.07858257987209</v>
      </c>
      <c r="C30" s="74">
        <f t="shared" si="0"/>
        <v>547.79999999999995</v>
      </c>
      <c r="D30" s="73">
        <f t="shared" si="3"/>
        <v>182.25305999999995</v>
      </c>
      <c r="E30" s="38">
        <v>11</v>
      </c>
      <c r="F30" s="73">
        <f t="shared" si="4"/>
        <v>651.40225888581074</v>
      </c>
      <c r="G30" s="73">
        <f t="shared" si="1"/>
        <v>216.72153153130918</v>
      </c>
      <c r="I30" s="246"/>
      <c r="J30" s="247"/>
      <c r="K30" s="247"/>
      <c r="L30" s="248"/>
      <c r="M30" s="8"/>
      <c r="N30" s="8"/>
    </row>
    <row r="31" spans="1:14" ht="15" customHeight="1" thickBot="1" x14ac:dyDescent="0.25">
      <c r="A31" s="38">
        <v>10</v>
      </c>
      <c r="B31" s="73">
        <f t="shared" si="2"/>
        <v>455.52598416352004</v>
      </c>
      <c r="C31" s="74">
        <f t="shared" si="0"/>
        <v>498</v>
      </c>
      <c r="D31" s="73">
        <f t="shared" si="3"/>
        <v>165.68459999999996</v>
      </c>
      <c r="E31" s="38">
        <v>10</v>
      </c>
      <c r="F31" s="73">
        <f t="shared" si="4"/>
        <v>592.18387171437348</v>
      </c>
      <c r="G31" s="73">
        <f t="shared" si="1"/>
        <v>197.01957411937201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ht="15" customHeight="1" x14ac:dyDescent="0.2">
      <c r="A32" s="38">
        <v>9</v>
      </c>
      <c r="B32" s="73">
        <f t="shared" si="2"/>
        <v>409.97338574716809</v>
      </c>
      <c r="C32" s="74">
        <f t="shared" si="0"/>
        <v>448.20000000000005</v>
      </c>
      <c r="D32" s="73">
        <f t="shared" si="3"/>
        <v>149.11614</v>
      </c>
      <c r="E32" s="38">
        <v>9</v>
      </c>
      <c r="F32" s="73">
        <f t="shared" si="4"/>
        <v>532.965484542936</v>
      </c>
      <c r="G32" s="73">
        <f t="shared" si="1"/>
        <v>177.31761670743478</v>
      </c>
      <c r="I32" s="229">
        <f>((L23/37.5*7.5*5)/7)*30*$C$47</f>
        <v>0</v>
      </c>
      <c r="J32" s="231">
        <f>IF(L26&lt;I32,I32,L26)</f>
        <v>0</v>
      </c>
      <c r="K32" s="233">
        <v>33.270000000000003</v>
      </c>
      <c r="L32" s="235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364.42078733081604</v>
      </c>
      <c r="C33" s="74">
        <f t="shared" si="0"/>
        <v>398.4</v>
      </c>
      <c r="D33" s="73">
        <f t="shared" si="3"/>
        <v>132.54767999999996</v>
      </c>
      <c r="E33" s="38">
        <v>8</v>
      </c>
      <c r="F33" s="73">
        <f t="shared" si="4"/>
        <v>473.74709737149874</v>
      </c>
      <c r="G33" s="73">
        <f t="shared" si="1"/>
        <v>157.61565929549761</v>
      </c>
      <c r="I33" s="230"/>
      <c r="J33" s="232"/>
      <c r="K33" s="234"/>
      <c r="L33" s="236"/>
      <c r="M33" s="8"/>
      <c r="N33" s="8"/>
    </row>
    <row r="34" spans="1:14" ht="15" customHeight="1" thickBot="1" x14ac:dyDescent="0.25">
      <c r="A34" s="38">
        <v>7</v>
      </c>
      <c r="B34" s="73">
        <f t="shared" si="2"/>
        <v>318.86818891446404</v>
      </c>
      <c r="C34" s="74">
        <f t="shared" si="0"/>
        <v>348.60000000000008</v>
      </c>
      <c r="D34" s="73">
        <f t="shared" si="3"/>
        <v>115.97922000000001</v>
      </c>
      <c r="E34" s="38">
        <v>7</v>
      </c>
      <c r="F34" s="73">
        <f t="shared" si="4"/>
        <v>414.52871020006137</v>
      </c>
      <c r="G34" s="73">
        <f t="shared" si="1"/>
        <v>137.91370188356041</v>
      </c>
      <c r="I34" s="224" t="s">
        <v>66</v>
      </c>
      <c r="J34" s="225"/>
      <c r="K34" s="226"/>
      <c r="L34" s="130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273.31559049811204</v>
      </c>
      <c r="C35" s="74">
        <f t="shared" si="0"/>
        <v>298.79999999999995</v>
      </c>
      <c r="D35" s="73">
        <f t="shared" si="3"/>
        <v>99.410759999999968</v>
      </c>
      <c r="E35" s="38">
        <v>6</v>
      </c>
      <c r="F35" s="73">
        <f t="shared" si="4"/>
        <v>355.310323028624</v>
      </c>
      <c r="G35" s="73">
        <f t="shared" si="1"/>
        <v>118.21174447162318</v>
      </c>
      <c r="I35" s="35"/>
      <c r="J35" s="19"/>
      <c r="K35" s="8"/>
      <c r="L35" s="115"/>
      <c r="M35" s="8"/>
      <c r="N35" s="136"/>
    </row>
    <row r="36" spans="1:14" ht="15" customHeight="1" x14ac:dyDescent="0.2">
      <c r="A36" s="38">
        <v>5</v>
      </c>
      <c r="B36" s="73">
        <f t="shared" si="2"/>
        <v>227.76299208176002</v>
      </c>
      <c r="C36" s="74">
        <f t="shared" si="0"/>
        <v>249</v>
      </c>
      <c r="D36" s="73">
        <f t="shared" si="3"/>
        <v>82.84229999999998</v>
      </c>
      <c r="E36" s="38">
        <v>5</v>
      </c>
      <c r="F36" s="73">
        <f t="shared" si="4"/>
        <v>296.09193585718674</v>
      </c>
      <c r="G36" s="73">
        <f t="shared" si="1"/>
        <v>98.509787059686005</v>
      </c>
      <c r="I36" s="227" t="s">
        <v>67</v>
      </c>
      <c r="J36" s="227"/>
      <c r="K36" s="227"/>
      <c r="L36" s="227"/>
      <c r="M36" s="228" t="s">
        <v>101</v>
      </c>
      <c r="N36" s="136"/>
    </row>
    <row r="37" spans="1:14" ht="15" customHeight="1" x14ac:dyDescent="0.2">
      <c r="A37" s="38">
        <v>4</v>
      </c>
      <c r="B37" s="73">
        <f t="shared" si="2"/>
        <v>182.21039366540802</v>
      </c>
      <c r="C37" s="74">
        <f t="shared" si="0"/>
        <v>199.2</v>
      </c>
      <c r="D37" s="73">
        <f t="shared" si="3"/>
        <v>66.273839999999979</v>
      </c>
      <c r="E37" s="38">
        <v>4</v>
      </c>
      <c r="F37" s="73">
        <f t="shared" si="4"/>
        <v>236.87354868574937</v>
      </c>
      <c r="G37" s="73">
        <f t="shared" si="1"/>
        <v>78.807829647748804</v>
      </c>
      <c r="I37" s="227"/>
      <c r="J37" s="227"/>
      <c r="K37" s="227"/>
      <c r="L37" s="227"/>
      <c r="M37" s="228"/>
      <c r="N37" s="136"/>
    </row>
    <row r="38" spans="1:14" ht="15" customHeight="1" x14ac:dyDescent="0.2">
      <c r="A38" s="38">
        <v>3</v>
      </c>
      <c r="B38" s="73">
        <f t="shared" si="2"/>
        <v>136.65779524905602</v>
      </c>
      <c r="C38" s="74">
        <f t="shared" si="0"/>
        <v>149.39999999999998</v>
      </c>
      <c r="D38" s="73">
        <f t="shared" si="3"/>
        <v>49.705379999999984</v>
      </c>
      <c r="E38" s="38">
        <v>3</v>
      </c>
      <c r="F38" s="73">
        <f t="shared" si="4"/>
        <v>177.655161514312</v>
      </c>
      <c r="G38" s="73">
        <f t="shared" si="1"/>
        <v>59.105872235811589</v>
      </c>
      <c r="I38" s="5"/>
    </row>
    <row r="39" spans="1:14" ht="15" customHeight="1" x14ac:dyDescent="0.2">
      <c r="A39" s="38">
        <v>2</v>
      </c>
      <c r="B39" s="73">
        <f t="shared" si="2"/>
        <v>91.10519683270401</v>
      </c>
      <c r="C39" s="74">
        <f t="shared" si="0"/>
        <v>99.6</v>
      </c>
      <c r="D39" s="73">
        <f t="shared" si="3"/>
        <v>33.136919999999989</v>
      </c>
      <c r="E39" s="38">
        <v>2</v>
      </c>
      <c r="F39" s="73">
        <f t="shared" si="4"/>
        <v>118.43677434287468</v>
      </c>
      <c r="G39" s="73">
        <f t="shared" si="1"/>
        <v>39.403914823874402</v>
      </c>
      <c r="I39" s="5"/>
    </row>
    <row r="40" spans="1:14" ht="15" customHeight="1" x14ac:dyDescent="0.2">
      <c r="A40" s="39">
        <v>1</v>
      </c>
      <c r="B40" s="75">
        <f t="shared" si="2"/>
        <v>45.552598416352005</v>
      </c>
      <c r="C40" s="76">
        <f t="shared" si="0"/>
        <v>49.8</v>
      </c>
      <c r="D40" s="75">
        <f t="shared" si="3"/>
        <v>16.568459999999995</v>
      </c>
      <c r="E40" s="39">
        <v>1</v>
      </c>
      <c r="F40" s="75">
        <f t="shared" si="4"/>
        <v>59.218387171437342</v>
      </c>
      <c r="G40" s="75">
        <f t="shared" si="1"/>
        <v>19.701957411937201</v>
      </c>
      <c r="I40" s="5"/>
    </row>
    <row r="42" spans="1:14" hidden="1" x14ac:dyDescent="0.2"/>
    <row r="43" spans="1:14" hidden="1" x14ac:dyDescent="0.2"/>
    <row r="44" spans="1:14" hidden="1" x14ac:dyDescent="0.2"/>
    <row r="45" spans="1:14" hidden="1" x14ac:dyDescent="0.2"/>
    <row r="46" spans="1:14" ht="15" hidden="1" thickBot="1" x14ac:dyDescent="0.25">
      <c r="C46" s="211" t="s">
        <v>93</v>
      </c>
    </row>
    <row r="47" spans="1:14" s="21" customFormat="1" ht="31.5" hidden="1" customHeight="1" thickBot="1" x14ac:dyDescent="0.25">
      <c r="A47" s="190"/>
      <c r="B47" s="206" t="s">
        <v>14</v>
      </c>
      <c r="C47" s="207">
        <v>11.62</v>
      </c>
      <c r="D47" s="191"/>
      <c r="E47" s="192"/>
      <c r="F47" s="191"/>
      <c r="G47" s="191"/>
      <c r="I47" s="193"/>
    </row>
  </sheetData>
  <sheetProtection algorithmName="SHA-512" hashValue="GV9OGZF4/S1VJDb7beKdfyxcL1fYUEjWN/RCS9Y5FqQQIxc9evLlwGo0LCgWg6TpK5G6WOnZebM6rDbUXzclvw==" saltValue="IYy+LoucuVVeIdouJMxsaA==" spinCount="100000" sheet="1" objects="1" scenarios="1"/>
  <protectedRanges>
    <protectedRange sqref="M36" name="CALCULO RC"/>
    <protectedRange sqref="L23" name="DED_1"/>
    <protectedRange sqref="L8" name="RET TC_2"/>
    <protectedRange sqref="L26" name="RET TP_1"/>
  </protectedRanges>
  <mergeCells count="36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A1:G1"/>
    <mergeCell ref="B2:D2"/>
    <mergeCell ref="F2:G2"/>
    <mergeCell ref="I2:K2"/>
    <mergeCell ref="L2:M2"/>
    <mergeCell ref="I1:M1"/>
  </mergeCells>
  <hyperlinks>
    <hyperlink ref="M36:M37" r:id="rId1" display="CALCULO RC" xr:uid="{00000000-0004-0000-03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4"/>
  <sheetViews>
    <sheetView topLeftCell="A4" zoomScale="106" zoomScaleNormal="106" workbookViewId="0">
      <selection activeCell="L8" sqref="L8:L9"/>
    </sheetView>
  </sheetViews>
  <sheetFormatPr baseColWidth="10" defaultColWidth="11.5703125" defaultRowHeight="14.25" x14ac:dyDescent="0.2"/>
  <cols>
    <col min="1" max="1" width="17" style="4" customWidth="1"/>
    <col min="2" max="2" width="18.28515625" style="4" customWidth="1"/>
    <col min="3" max="3" width="0.7109375" style="6" hidden="1" customWidth="1"/>
    <col min="4" max="4" width="16.5703125" style="4" customWidth="1"/>
    <col min="5" max="5" width="18.42578125" style="5" customWidth="1"/>
    <col min="6" max="6" width="24.7109375" style="4" customWidth="1"/>
    <col min="7" max="7" width="18.42578125" style="4" customWidth="1"/>
    <col min="8" max="8" width="11.5703125" style="5"/>
    <col min="9" max="9" width="17.7109375" style="7" customWidth="1"/>
    <col min="10" max="10" width="18.7109375" style="5" customWidth="1"/>
    <col min="11" max="11" width="19.42578125" style="5" customWidth="1"/>
    <col min="12" max="12" width="16" style="5" customWidth="1"/>
    <col min="13" max="13" width="16.5703125" style="5" customWidth="1"/>
    <col min="14" max="14" width="13.28515625" style="5" bestFit="1" customWidth="1"/>
    <col min="15" max="16384" width="11.5703125" style="5"/>
  </cols>
  <sheetData>
    <row r="1" spans="1:14" s="8" customFormat="1" ht="43.9" customHeight="1" x14ac:dyDescent="0.2">
      <c r="A1" s="264" t="s">
        <v>114</v>
      </c>
      <c r="B1" s="265"/>
      <c r="C1" s="265"/>
      <c r="D1" s="265"/>
      <c r="E1" s="265"/>
      <c r="F1" s="265"/>
      <c r="G1" s="265"/>
      <c r="I1" s="260" t="s">
        <v>115</v>
      </c>
      <c r="J1" s="261"/>
      <c r="K1" s="261"/>
      <c r="L1" s="261"/>
      <c r="M1" s="262"/>
    </row>
    <row r="2" spans="1:14" s="36" customFormat="1" ht="27.6" customHeight="1" x14ac:dyDescent="0.2">
      <c r="A2" s="44"/>
      <c r="B2" s="307" t="s">
        <v>47</v>
      </c>
      <c r="C2" s="307"/>
      <c r="D2" s="308"/>
      <c r="E2" s="42"/>
      <c r="F2" s="307" t="s">
        <v>48</v>
      </c>
      <c r="G2" s="308"/>
      <c r="I2" s="266" t="s">
        <v>50</v>
      </c>
      <c r="J2" s="266"/>
      <c r="K2" s="266"/>
      <c r="L2" s="266" t="s">
        <v>54</v>
      </c>
      <c r="M2" s="266"/>
    </row>
    <row r="3" spans="1:14" s="27" customFormat="1" ht="38.25" x14ac:dyDescent="0.2">
      <c r="A3" s="43" t="s">
        <v>45</v>
      </c>
      <c r="B3" s="65" t="s">
        <v>46</v>
      </c>
      <c r="C3" s="66" t="s">
        <v>15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37">
        <v>37.5</v>
      </c>
      <c r="B4" s="71">
        <f>PARAMETROS!B6</f>
        <v>1607.7386658324999</v>
      </c>
      <c r="C4" s="72"/>
      <c r="D4" s="71"/>
      <c r="E4" s="37">
        <v>37.5</v>
      </c>
      <c r="F4" s="71">
        <f>PARAMETROS!C6</f>
        <v>2090.0594002529001</v>
      </c>
      <c r="G4" s="71">
        <f>IF(F4&gt;$K$4,$K$4*$K$18%,F4*$K$18%)</f>
        <v>695.36276246413979</v>
      </c>
      <c r="I4" s="267">
        <v>1</v>
      </c>
      <c r="J4" s="268">
        <v>1929</v>
      </c>
      <c r="K4" s="268">
        <v>4909.5</v>
      </c>
      <c r="L4" s="272">
        <v>1381.2</v>
      </c>
      <c r="M4" s="268">
        <v>4909.5</v>
      </c>
      <c r="N4" s="8"/>
    </row>
    <row r="5" spans="1:14" ht="15" customHeight="1" x14ac:dyDescent="0.2">
      <c r="A5" s="38">
        <v>36</v>
      </c>
      <c r="B5" s="73">
        <f>PRODUCT(B$4,A5)/A$4</f>
        <v>1543.4291191991999</v>
      </c>
      <c r="C5" s="74">
        <f t="shared" ref="C5:C40" si="0">(A5/$A$4*7.5*5)/7*30*$C$43</f>
        <v>1792.8000000000002</v>
      </c>
      <c r="D5" s="73">
        <f>IF(B5&lt;C5,C5*$K$18%,B5*$K$18%)</f>
        <v>596.46456000000001</v>
      </c>
      <c r="E5" s="38">
        <v>36</v>
      </c>
      <c r="F5" s="73">
        <f>PRODUCT(F$4,E5)/E$4</f>
        <v>2006.457024242784</v>
      </c>
      <c r="G5" s="73">
        <f t="shared" ref="G5:G40" si="1">IF(F5&gt;$K$4,$K$4*$K$18%,F5*$K$18%)</f>
        <v>667.54825196557408</v>
      </c>
      <c r="I5" s="267"/>
      <c r="J5" s="269"/>
      <c r="K5" s="269"/>
      <c r="L5" s="273"/>
      <c r="M5" s="269"/>
      <c r="N5" s="8"/>
    </row>
    <row r="6" spans="1:14" ht="15" customHeight="1" x14ac:dyDescent="0.2">
      <c r="A6" s="38">
        <v>35</v>
      </c>
      <c r="B6" s="73">
        <f t="shared" ref="B6:B40" si="2">PRODUCT(B$4,A6)/A$4</f>
        <v>1500.5560881103333</v>
      </c>
      <c r="C6" s="74">
        <f t="shared" si="0"/>
        <v>1742.9999999999998</v>
      </c>
      <c r="D6" s="73">
        <f t="shared" ref="D6:D40" si="3">IF(B6&lt;C6,C6*$K$18%,B6*$K$18%)</f>
        <v>579.89609999999982</v>
      </c>
      <c r="E6" s="38">
        <v>35</v>
      </c>
      <c r="F6" s="73">
        <f t="shared" ref="F6:F40" si="4">PRODUCT(F$4,E6)/E$4</f>
        <v>1950.7221069027069</v>
      </c>
      <c r="G6" s="73">
        <f t="shared" si="1"/>
        <v>649.00524496653043</v>
      </c>
      <c r="I6" s="35"/>
      <c r="J6" s="8"/>
      <c r="K6" s="8"/>
      <c r="L6" s="115"/>
      <c r="M6" s="8"/>
      <c r="N6" s="8"/>
    </row>
    <row r="7" spans="1:14" ht="15" customHeight="1" thickBot="1" x14ac:dyDescent="0.25">
      <c r="A7" s="38">
        <v>34</v>
      </c>
      <c r="B7" s="73">
        <f t="shared" si="2"/>
        <v>1457.6830570214668</v>
      </c>
      <c r="C7" s="74">
        <f t="shared" si="0"/>
        <v>1693.1999999999996</v>
      </c>
      <c r="D7" s="73">
        <f t="shared" si="3"/>
        <v>563.32763999999975</v>
      </c>
      <c r="E7" s="38">
        <v>34</v>
      </c>
      <c r="F7" s="73">
        <f t="shared" si="4"/>
        <v>1894.9871895626295</v>
      </c>
      <c r="G7" s="73">
        <f t="shared" si="1"/>
        <v>630.46223796748677</v>
      </c>
      <c r="I7" s="35"/>
      <c r="J7" s="19"/>
      <c r="K7" s="8"/>
      <c r="L7" s="115"/>
      <c r="M7" s="8"/>
      <c r="N7" s="8"/>
    </row>
    <row r="8" spans="1:14" ht="15" customHeight="1" x14ac:dyDescent="0.2">
      <c r="A8" s="38">
        <v>33</v>
      </c>
      <c r="B8" s="73">
        <f t="shared" si="2"/>
        <v>1414.8100259326</v>
      </c>
      <c r="C8" s="74">
        <f t="shared" si="0"/>
        <v>1643.4</v>
      </c>
      <c r="D8" s="73">
        <f t="shared" si="3"/>
        <v>546.7591799999999</v>
      </c>
      <c r="E8" s="38">
        <v>33</v>
      </c>
      <c r="F8" s="73">
        <f t="shared" si="4"/>
        <v>1839.2522722225519</v>
      </c>
      <c r="G8" s="73">
        <f t="shared" si="1"/>
        <v>611.91923096844289</v>
      </c>
      <c r="I8" s="237" t="s">
        <v>87</v>
      </c>
      <c r="J8" s="237"/>
      <c r="K8" s="238"/>
      <c r="L8" s="241">
        <v>0</v>
      </c>
      <c r="M8" s="8"/>
      <c r="N8" s="152"/>
    </row>
    <row r="9" spans="1:14" ht="15" customHeight="1" thickBot="1" x14ac:dyDescent="0.25">
      <c r="A9" s="38">
        <v>32</v>
      </c>
      <c r="B9" s="73">
        <f t="shared" si="2"/>
        <v>1371.9369948437334</v>
      </c>
      <c r="C9" s="74">
        <f t="shared" si="0"/>
        <v>1593.6</v>
      </c>
      <c r="D9" s="73">
        <f t="shared" si="3"/>
        <v>530.19071999999983</v>
      </c>
      <c r="E9" s="38">
        <v>32</v>
      </c>
      <c r="F9" s="73">
        <f t="shared" si="4"/>
        <v>1783.5173548824748</v>
      </c>
      <c r="G9" s="73">
        <f t="shared" si="1"/>
        <v>593.37622396939923</v>
      </c>
      <c r="I9" s="237"/>
      <c r="J9" s="237"/>
      <c r="K9" s="238"/>
      <c r="L9" s="242"/>
      <c r="M9" s="8"/>
      <c r="N9" s="8"/>
    </row>
    <row r="10" spans="1:14" ht="15" customHeight="1" thickBot="1" x14ac:dyDescent="0.25">
      <c r="A10" s="38">
        <v>31</v>
      </c>
      <c r="B10" s="73">
        <f t="shared" si="2"/>
        <v>1329.0639637548666</v>
      </c>
      <c r="C10" s="74">
        <f t="shared" si="0"/>
        <v>1543.8</v>
      </c>
      <c r="D10" s="73">
        <f t="shared" si="3"/>
        <v>513.62225999999987</v>
      </c>
      <c r="E10" s="38">
        <v>31</v>
      </c>
      <c r="F10" s="73">
        <f t="shared" si="4"/>
        <v>1727.7824375423972</v>
      </c>
      <c r="G10" s="73">
        <f t="shared" si="1"/>
        <v>574.83321697035547</v>
      </c>
      <c r="I10" s="120"/>
      <c r="J10" s="121"/>
      <c r="K10" s="122"/>
      <c r="L10" s="123"/>
      <c r="M10" s="8"/>
      <c r="N10" s="8"/>
    </row>
    <row r="11" spans="1:14" ht="15" customHeight="1" x14ac:dyDescent="0.2">
      <c r="A11" s="38">
        <v>30</v>
      </c>
      <c r="B11" s="73">
        <f t="shared" si="2"/>
        <v>1286.1909326659998</v>
      </c>
      <c r="C11" s="74">
        <f t="shared" si="0"/>
        <v>1493.9999999999998</v>
      </c>
      <c r="D11" s="73">
        <f t="shared" si="3"/>
        <v>497.05379999999985</v>
      </c>
      <c r="E11" s="38">
        <v>30</v>
      </c>
      <c r="F11" s="73">
        <f t="shared" si="4"/>
        <v>1672.0475202023201</v>
      </c>
      <c r="G11" s="73">
        <f t="shared" si="1"/>
        <v>556.29020997131181</v>
      </c>
      <c r="I11" s="243" t="s">
        <v>62</v>
      </c>
      <c r="J11" s="244"/>
      <c r="K11" s="244"/>
      <c r="L11" s="245"/>
      <c r="M11" s="8"/>
      <c r="N11" s="8"/>
    </row>
    <row r="12" spans="1:14" ht="15" customHeight="1" thickBot="1" x14ac:dyDescent="0.25">
      <c r="A12" s="38">
        <v>29</v>
      </c>
      <c r="B12" s="73">
        <f t="shared" si="2"/>
        <v>1243.3179015771332</v>
      </c>
      <c r="C12" s="74">
        <f t="shared" si="0"/>
        <v>1444.2</v>
      </c>
      <c r="D12" s="73">
        <f t="shared" si="3"/>
        <v>480.48533999999995</v>
      </c>
      <c r="E12" s="38">
        <v>29</v>
      </c>
      <c r="F12" s="73">
        <f t="shared" si="4"/>
        <v>1616.3126028622428</v>
      </c>
      <c r="G12" s="73">
        <f t="shared" si="1"/>
        <v>537.74720297226804</v>
      </c>
      <c r="I12" s="246"/>
      <c r="J12" s="247"/>
      <c r="K12" s="247"/>
      <c r="L12" s="248"/>
      <c r="M12" s="8"/>
      <c r="N12" s="8"/>
    </row>
    <row r="13" spans="1:14" ht="15" customHeight="1" thickBot="1" x14ac:dyDescent="0.25">
      <c r="A13" s="38">
        <v>28</v>
      </c>
      <c r="B13" s="73">
        <f t="shared" si="2"/>
        <v>1200.4448704882666</v>
      </c>
      <c r="C13" s="74">
        <f t="shared" si="0"/>
        <v>1394.4000000000003</v>
      </c>
      <c r="D13" s="73">
        <f t="shared" si="3"/>
        <v>463.91688000000005</v>
      </c>
      <c r="E13" s="38">
        <v>28</v>
      </c>
      <c r="F13" s="73">
        <f t="shared" si="4"/>
        <v>1560.5776855221654</v>
      </c>
      <c r="G13" s="73">
        <f t="shared" si="1"/>
        <v>519.20419597322439</v>
      </c>
      <c r="I13" s="117"/>
      <c r="J13" s="118" t="s">
        <v>55</v>
      </c>
      <c r="K13" s="133" t="s">
        <v>56</v>
      </c>
      <c r="L13" s="119" t="s">
        <v>57</v>
      </c>
      <c r="M13" s="8"/>
      <c r="N13" s="8"/>
    </row>
    <row r="14" spans="1:14" ht="15" customHeight="1" x14ac:dyDescent="0.2">
      <c r="A14" s="38">
        <v>27</v>
      </c>
      <c r="B14" s="73">
        <f t="shared" si="2"/>
        <v>1157.5718393993998</v>
      </c>
      <c r="C14" s="74">
        <f t="shared" si="0"/>
        <v>1344.6</v>
      </c>
      <c r="D14" s="73">
        <f t="shared" si="3"/>
        <v>447.34841999999986</v>
      </c>
      <c r="E14" s="38">
        <v>27</v>
      </c>
      <c r="F14" s="73">
        <f t="shared" si="4"/>
        <v>1504.8427681820881</v>
      </c>
      <c r="G14" s="73">
        <f t="shared" si="1"/>
        <v>500.66118897418062</v>
      </c>
      <c r="I14" s="249" t="s">
        <v>58</v>
      </c>
      <c r="J14" s="251">
        <f>IF(L8&gt;=J4,L8,J4)</f>
        <v>1929</v>
      </c>
      <c r="K14" s="253">
        <v>24.27</v>
      </c>
      <c r="L14" s="258">
        <f>J14*K14%</f>
        <v>468.16829999999999</v>
      </c>
      <c r="M14" s="8"/>
      <c r="N14" s="8"/>
    </row>
    <row r="15" spans="1:14" ht="15" customHeight="1" thickBot="1" x14ac:dyDescent="0.25">
      <c r="A15" s="38">
        <v>26</v>
      </c>
      <c r="B15" s="73">
        <f t="shared" si="2"/>
        <v>1114.6988083105332</v>
      </c>
      <c r="C15" s="74">
        <f t="shared" si="0"/>
        <v>1294.8</v>
      </c>
      <c r="D15" s="73">
        <f t="shared" si="3"/>
        <v>430.7799599999999</v>
      </c>
      <c r="E15" s="38">
        <v>26</v>
      </c>
      <c r="F15" s="73">
        <f t="shared" si="4"/>
        <v>1449.1078508420107</v>
      </c>
      <c r="G15" s="73">
        <f t="shared" si="1"/>
        <v>482.11818197513691</v>
      </c>
      <c r="I15" s="250"/>
      <c r="J15" s="252"/>
      <c r="K15" s="254"/>
      <c r="L15" s="259"/>
      <c r="M15" s="8"/>
      <c r="N15" s="8"/>
    </row>
    <row r="16" spans="1:14" ht="15" customHeight="1" x14ac:dyDescent="0.2">
      <c r="A16" s="38">
        <v>25</v>
      </c>
      <c r="B16" s="73">
        <f t="shared" si="2"/>
        <v>1071.8257772216666</v>
      </c>
      <c r="C16" s="74">
        <f t="shared" si="0"/>
        <v>1245</v>
      </c>
      <c r="D16" s="73">
        <f t="shared" si="3"/>
        <v>414.21149999999994</v>
      </c>
      <c r="E16" s="38">
        <v>25</v>
      </c>
      <c r="F16" s="73">
        <f t="shared" si="4"/>
        <v>1393.3729335019334</v>
      </c>
      <c r="G16" s="73">
        <f t="shared" si="1"/>
        <v>463.57517497609314</v>
      </c>
      <c r="I16" s="256" t="s">
        <v>59</v>
      </c>
      <c r="J16" s="251">
        <f>IF(L8&gt;=L4,L8,L4)</f>
        <v>1381.2</v>
      </c>
      <c r="K16" s="253">
        <v>9</v>
      </c>
      <c r="L16" s="235">
        <f>J16*K16%</f>
        <v>124.30799999999999</v>
      </c>
      <c r="M16" s="8"/>
      <c r="N16" s="8"/>
    </row>
    <row r="17" spans="1:14" ht="15" customHeight="1" thickBot="1" x14ac:dyDescent="0.25">
      <c r="A17" s="38">
        <v>24</v>
      </c>
      <c r="B17" s="73">
        <f t="shared" si="2"/>
        <v>1028.9527461328</v>
      </c>
      <c r="C17" s="74">
        <f t="shared" si="0"/>
        <v>1195.1999999999998</v>
      </c>
      <c r="D17" s="73">
        <f t="shared" si="3"/>
        <v>397.64303999999987</v>
      </c>
      <c r="E17" s="38">
        <v>24</v>
      </c>
      <c r="F17" s="73">
        <f t="shared" si="4"/>
        <v>1337.6380161618561</v>
      </c>
      <c r="G17" s="73">
        <f t="shared" si="1"/>
        <v>445.03216797704943</v>
      </c>
      <c r="I17" s="257"/>
      <c r="J17" s="252"/>
      <c r="K17" s="254">
        <v>0.2</v>
      </c>
      <c r="L17" s="255"/>
      <c r="M17" s="8"/>
      <c r="N17" s="8"/>
    </row>
    <row r="18" spans="1:14" ht="15" customHeight="1" thickBot="1" x14ac:dyDescent="0.25">
      <c r="A18" s="38">
        <v>23</v>
      </c>
      <c r="B18" s="73">
        <f t="shared" si="2"/>
        <v>986.07971504393322</v>
      </c>
      <c r="C18" s="74">
        <f t="shared" si="0"/>
        <v>1145.3999999999999</v>
      </c>
      <c r="D18" s="73">
        <f t="shared" si="3"/>
        <v>381.07457999999991</v>
      </c>
      <c r="E18" s="38">
        <v>23</v>
      </c>
      <c r="F18" s="73">
        <f t="shared" si="4"/>
        <v>1281.9030988217787</v>
      </c>
      <c r="G18" s="73">
        <f t="shared" si="1"/>
        <v>426.48916097800571</v>
      </c>
      <c r="I18" s="274" t="s">
        <v>63</v>
      </c>
      <c r="J18" s="275"/>
      <c r="K18" s="134">
        <f>(K14+K16)</f>
        <v>33.269999999999996</v>
      </c>
      <c r="L18" s="130">
        <f>SUM(L14:L17)</f>
        <v>592.47630000000004</v>
      </c>
      <c r="M18" s="8"/>
      <c r="N18" s="8"/>
    </row>
    <row r="19" spans="1:14" ht="15" customHeight="1" x14ac:dyDescent="0.2">
      <c r="A19" s="38">
        <v>22</v>
      </c>
      <c r="B19" s="73">
        <f t="shared" si="2"/>
        <v>943.20668395506664</v>
      </c>
      <c r="C19" s="74">
        <f t="shared" si="0"/>
        <v>1095.5999999999999</v>
      </c>
      <c r="D19" s="73">
        <f t="shared" si="3"/>
        <v>364.5061199999999</v>
      </c>
      <c r="E19" s="38">
        <v>22</v>
      </c>
      <c r="F19" s="73">
        <f t="shared" si="4"/>
        <v>1226.1681814817014</v>
      </c>
      <c r="G19" s="73">
        <f t="shared" si="1"/>
        <v>407.94615397896195</v>
      </c>
      <c r="I19" s="126"/>
      <c r="J19" s="127"/>
      <c r="K19" s="128"/>
      <c r="L19" s="129"/>
      <c r="M19" s="8"/>
      <c r="N19" s="8"/>
    </row>
    <row r="20" spans="1:14" ht="15" customHeight="1" x14ac:dyDescent="0.2">
      <c r="A20" s="38">
        <v>21</v>
      </c>
      <c r="B20" s="73">
        <f t="shared" si="2"/>
        <v>900.33365286620005</v>
      </c>
      <c r="C20" s="74">
        <f t="shared" si="0"/>
        <v>1045.8</v>
      </c>
      <c r="D20" s="73">
        <f t="shared" si="3"/>
        <v>347.93765999999994</v>
      </c>
      <c r="E20" s="38">
        <v>21</v>
      </c>
      <c r="F20" s="73">
        <f t="shared" si="4"/>
        <v>1170.433264141624</v>
      </c>
      <c r="G20" s="73">
        <f t="shared" si="1"/>
        <v>389.40314697991823</v>
      </c>
      <c r="I20" s="278" t="s">
        <v>78</v>
      </c>
      <c r="J20" s="278"/>
      <c r="K20" s="278"/>
      <c r="L20" s="278"/>
      <c r="M20" s="278"/>
      <c r="N20" s="278"/>
    </row>
    <row r="21" spans="1:14" ht="15" customHeight="1" x14ac:dyDescent="0.2">
      <c r="A21" s="38">
        <v>20</v>
      </c>
      <c r="B21" s="73">
        <f t="shared" si="2"/>
        <v>857.46062177733324</v>
      </c>
      <c r="C21" s="74">
        <f t="shared" si="0"/>
        <v>996</v>
      </c>
      <c r="D21" s="73">
        <f t="shared" si="3"/>
        <v>331.36919999999992</v>
      </c>
      <c r="E21" s="38">
        <v>20</v>
      </c>
      <c r="F21" s="73">
        <f t="shared" si="4"/>
        <v>1114.6983468015467</v>
      </c>
      <c r="G21" s="73">
        <f t="shared" si="1"/>
        <v>370.86013998087452</v>
      </c>
      <c r="I21" s="278"/>
      <c r="J21" s="278"/>
      <c r="K21" s="278"/>
      <c r="L21" s="278"/>
      <c r="M21" s="278"/>
      <c r="N21" s="278"/>
    </row>
    <row r="22" spans="1:14" ht="15" customHeight="1" thickBot="1" x14ac:dyDescent="0.25">
      <c r="A22" s="38">
        <v>19</v>
      </c>
      <c r="B22" s="73">
        <f t="shared" si="2"/>
        <v>814.58759068846666</v>
      </c>
      <c r="C22" s="74">
        <f t="shared" si="0"/>
        <v>946.19999999999993</v>
      </c>
      <c r="D22" s="73">
        <f t="shared" si="3"/>
        <v>314.80073999999991</v>
      </c>
      <c r="E22" s="38">
        <v>19</v>
      </c>
      <c r="F22" s="73">
        <f t="shared" si="4"/>
        <v>1058.9634294614696</v>
      </c>
      <c r="G22" s="73">
        <f t="shared" si="1"/>
        <v>352.31713298183087</v>
      </c>
      <c r="I22" s="35"/>
      <c r="J22" s="19"/>
      <c r="K22" s="8"/>
      <c r="L22" s="115"/>
      <c r="M22" s="8"/>
      <c r="N22" s="8"/>
    </row>
    <row r="23" spans="1:14" ht="15" customHeight="1" x14ac:dyDescent="0.2">
      <c r="A23" s="38">
        <v>18</v>
      </c>
      <c r="B23" s="73">
        <f t="shared" si="2"/>
        <v>771.71455959959997</v>
      </c>
      <c r="C23" s="74">
        <f t="shared" si="0"/>
        <v>896.40000000000009</v>
      </c>
      <c r="D23" s="73">
        <f t="shared" si="3"/>
        <v>298.23228</v>
      </c>
      <c r="E23" s="38">
        <v>18</v>
      </c>
      <c r="F23" s="73">
        <f t="shared" si="4"/>
        <v>1003.228512121392</v>
      </c>
      <c r="G23" s="73">
        <f t="shared" si="1"/>
        <v>333.77412598278704</v>
      </c>
      <c r="I23" s="237" t="s">
        <v>64</v>
      </c>
      <c r="J23" s="237"/>
      <c r="K23" s="238"/>
      <c r="L23" s="239">
        <v>0</v>
      </c>
      <c r="M23" s="8"/>
      <c r="N23" s="8"/>
    </row>
    <row r="24" spans="1:14" ht="15" customHeight="1" thickBot="1" x14ac:dyDescent="0.25">
      <c r="A24" s="38">
        <v>17</v>
      </c>
      <c r="B24" s="73">
        <f t="shared" si="2"/>
        <v>728.84152851073338</v>
      </c>
      <c r="C24" s="74">
        <f t="shared" si="0"/>
        <v>846.5999999999998</v>
      </c>
      <c r="D24" s="73">
        <f t="shared" si="3"/>
        <v>281.66381999999987</v>
      </c>
      <c r="E24" s="38">
        <v>17</v>
      </c>
      <c r="F24" s="73">
        <f t="shared" si="4"/>
        <v>947.49359478131475</v>
      </c>
      <c r="G24" s="73">
        <f t="shared" si="1"/>
        <v>315.23111898374339</v>
      </c>
      <c r="I24" s="237"/>
      <c r="J24" s="237"/>
      <c r="K24" s="238"/>
      <c r="L24" s="240"/>
      <c r="M24" s="8"/>
      <c r="N24" s="8"/>
    </row>
    <row r="25" spans="1:14" ht="15" customHeight="1" thickBot="1" x14ac:dyDescent="0.25">
      <c r="A25" s="38">
        <v>16</v>
      </c>
      <c r="B25" s="73">
        <f t="shared" si="2"/>
        <v>685.96849742186669</v>
      </c>
      <c r="C25" s="74">
        <f t="shared" si="0"/>
        <v>796.8</v>
      </c>
      <c r="D25" s="73">
        <f t="shared" si="3"/>
        <v>265.09535999999991</v>
      </c>
      <c r="E25" s="38">
        <v>16</v>
      </c>
      <c r="F25" s="73">
        <f t="shared" si="4"/>
        <v>891.75867744123741</v>
      </c>
      <c r="G25" s="73">
        <f t="shared" si="1"/>
        <v>296.68811198469962</v>
      </c>
      <c r="I25" s="35"/>
      <c r="J25" s="19"/>
      <c r="K25" s="8"/>
      <c r="L25" s="115"/>
      <c r="M25" s="8"/>
      <c r="N25" s="8"/>
    </row>
    <row r="26" spans="1:14" ht="15" customHeight="1" x14ac:dyDescent="0.2">
      <c r="A26" s="38">
        <v>15</v>
      </c>
      <c r="B26" s="73">
        <f t="shared" si="2"/>
        <v>643.09546633299988</v>
      </c>
      <c r="C26" s="74">
        <f t="shared" si="0"/>
        <v>746.99999999999989</v>
      </c>
      <c r="D26" s="73">
        <f t="shared" si="3"/>
        <v>248.52689999999993</v>
      </c>
      <c r="E26" s="38">
        <v>15</v>
      </c>
      <c r="F26" s="73">
        <f t="shared" si="4"/>
        <v>836.02376010116006</v>
      </c>
      <c r="G26" s="73">
        <f t="shared" si="1"/>
        <v>278.14510498565591</v>
      </c>
      <c r="I26" s="237" t="s">
        <v>68</v>
      </c>
      <c r="J26" s="237"/>
      <c r="K26" s="238"/>
      <c r="L26" s="241">
        <v>0</v>
      </c>
      <c r="M26" s="8"/>
      <c r="N26" s="8"/>
    </row>
    <row r="27" spans="1:14" ht="15" customHeight="1" thickBot="1" x14ac:dyDescent="0.25">
      <c r="A27" s="38">
        <v>14</v>
      </c>
      <c r="B27" s="73">
        <f t="shared" si="2"/>
        <v>600.22243524413329</v>
      </c>
      <c r="C27" s="74">
        <f t="shared" si="0"/>
        <v>697.20000000000016</v>
      </c>
      <c r="D27" s="73">
        <f t="shared" si="3"/>
        <v>231.95844000000002</v>
      </c>
      <c r="E27" s="38">
        <v>14</v>
      </c>
      <c r="F27" s="73">
        <f t="shared" si="4"/>
        <v>780.28884276108272</v>
      </c>
      <c r="G27" s="73">
        <f t="shared" si="1"/>
        <v>259.60209798661219</v>
      </c>
      <c r="I27" s="237"/>
      <c r="J27" s="237"/>
      <c r="K27" s="238"/>
      <c r="L27" s="242"/>
      <c r="M27" s="8"/>
      <c r="N27" s="8"/>
    </row>
    <row r="28" spans="1:14" ht="15" customHeight="1" thickBot="1" x14ac:dyDescent="0.25">
      <c r="A28" s="38">
        <v>13</v>
      </c>
      <c r="B28" s="73">
        <f t="shared" si="2"/>
        <v>557.3494041552666</v>
      </c>
      <c r="C28" s="74">
        <f t="shared" si="0"/>
        <v>647.4</v>
      </c>
      <c r="D28" s="73">
        <f t="shared" si="3"/>
        <v>215.38997999999995</v>
      </c>
      <c r="E28" s="38">
        <v>13</v>
      </c>
      <c r="F28" s="73">
        <f t="shared" si="4"/>
        <v>724.55392542100537</v>
      </c>
      <c r="G28" s="73">
        <f t="shared" si="1"/>
        <v>241.05909098756845</v>
      </c>
      <c r="I28" s="35"/>
      <c r="J28" s="19"/>
      <c r="K28" s="8"/>
      <c r="L28" s="115"/>
      <c r="M28" s="8"/>
      <c r="N28" s="8"/>
    </row>
    <row r="29" spans="1:14" ht="15" customHeight="1" x14ac:dyDescent="0.2">
      <c r="A29" s="38">
        <v>12</v>
      </c>
      <c r="B29" s="73">
        <f t="shared" si="2"/>
        <v>514.47637306640001</v>
      </c>
      <c r="C29" s="74">
        <f t="shared" si="0"/>
        <v>597.59999999999991</v>
      </c>
      <c r="D29" s="73">
        <f t="shared" si="3"/>
        <v>198.82151999999994</v>
      </c>
      <c r="E29" s="38">
        <v>12</v>
      </c>
      <c r="F29" s="73">
        <f t="shared" si="4"/>
        <v>668.81900808092803</v>
      </c>
      <c r="G29" s="73">
        <f t="shared" si="1"/>
        <v>222.51608398852471</v>
      </c>
      <c r="I29" s="243" t="s">
        <v>65</v>
      </c>
      <c r="J29" s="244"/>
      <c r="K29" s="244"/>
      <c r="L29" s="245"/>
      <c r="M29" s="8"/>
      <c r="N29" s="8"/>
    </row>
    <row r="30" spans="1:14" ht="15" customHeight="1" thickBot="1" x14ac:dyDescent="0.25">
      <c r="A30" s="38">
        <v>11</v>
      </c>
      <c r="B30" s="73">
        <f t="shared" si="2"/>
        <v>471.60334197753332</v>
      </c>
      <c r="C30" s="74">
        <f t="shared" si="0"/>
        <v>547.79999999999995</v>
      </c>
      <c r="D30" s="73">
        <f t="shared" si="3"/>
        <v>182.25305999999995</v>
      </c>
      <c r="E30" s="38">
        <v>11</v>
      </c>
      <c r="F30" s="73">
        <f t="shared" si="4"/>
        <v>613.08409074085068</v>
      </c>
      <c r="G30" s="73">
        <f t="shared" si="1"/>
        <v>203.97307698948097</v>
      </c>
      <c r="I30" s="246"/>
      <c r="J30" s="247"/>
      <c r="K30" s="247"/>
      <c r="L30" s="248"/>
      <c r="M30" s="8"/>
      <c r="N30" s="8"/>
    </row>
    <row r="31" spans="1:14" ht="15" customHeight="1" thickBot="1" x14ac:dyDescent="0.25">
      <c r="A31" s="38">
        <v>10</v>
      </c>
      <c r="B31" s="73">
        <f t="shared" si="2"/>
        <v>428.73031088866662</v>
      </c>
      <c r="C31" s="74">
        <f t="shared" si="0"/>
        <v>498</v>
      </c>
      <c r="D31" s="73">
        <f t="shared" si="3"/>
        <v>165.68459999999996</v>
      </c>
      <c r="E31" s="38">
        <v>10</v>
      </c>
      <c r="F31" s="73">
        <f t="shared" si="4"/>
        <v>557.34917340077334</v>
      </c>
      <c r="G31" s="73">
        <f t="shared" si="1"/>
        <v>185.43006999043726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ht="15" customHeight="1" x14ac:dyDescent="0.2">
      <c r="A32" s="38">
        <v>9</v>
      </c>
      <c r="B32" s="73">
        <f t="shared" si="2"/>
        <v>385.85727979979998</v>
      </c>
      <c r="C32" s="74">
        <f t="shared" si="0"/>
        <v>448.20000000000005</v>
      </c>
      <c r="D32" s="73">
        <f t="shared" si="3"/>
        <v>149.11614</v>
      </c>
      <c r="E32" s="38">
        <v>9</v>
      </c>
      <c r="F32" s="73">
        <f t="shared" si="4"/>
        <v>501.61425606069599</v>
      </c>
      <c r="G32" s="73">
        <f t="shared" si="1"/>
        <v>166.88706299139352</v>
      </c>
      <c r="I32" s="229">
        <f>((L23/37.5*7.5*5)/7)*30*$C$43</f>
        <v>0</v>
      </c>
      <c r="J32" s="231">
        <f>IF(L26&lt;I32,I32,L26)</f>
        <v>0</v>
      </c>
      <c r="K32" s="233">
        <v>33.270000000000003</v>
      </c>
      <c r="L32" s="235">
        <f>J32*K32%</f>
        <v>0</v>
      </c>
      <c r="M32" s="8"/>
      <c r="N32" s="8"/>
    </row>
    <row r="33" spans="1:14" ht="15" customHeight="1" thickBot="1" x14ac:dyDescent="0.25">
      <c r="A33" s="38">
        <v>8</v>
      </c>
      <c r="B33" s="73">
        <f t="shared" si="2"/>
        <v>342.98424871093334</v>
      </c>
      <c r="C33" s="74">
        <f t="shared" si="0"/>
        <v>398.4</v>
      </c>
      <c r="D33" s="73">
        <f t="shared" si="3"/>
        <v>132.54767999999996</v>
      </c>
      <c r="E33" s="38">
        <v>8</v>
      </c>
      <c r="F33" s="73">
        <f t="shared" si="4"/>
        <v>445.8793387206187</v>
      </c>
      <c r="G33" s="73">
        <f t="shared" si="1"/>
        <v>148.34405599234981</v>
      </c>
      <c r="I33" s="230"/>
      <c r="J33" s="232"/>
      <c r="K33" s="234"/>
      <c r="L33" s="236"/>
      <c r="M33" s="8"/>
      <c r="N33" s="8"/>
    </row>
    <row r="34" spans="1:14" ht="15" customHeight="1" thickBot="1" x14ac:dyDescent="0.25">
      <c r="A34" s="38">
        <v>7</v>
      </c>
      <c r="B34" s="73">
        <f t="shared" si="2"/>
        <v>300.11121762206665</v>
      </c>
      <c r="C34" s="74">
        <f t="shared" si="0"/>
        <v>348.60000000000008</v>
      </c>
      <c r="D34" s="73">
        <f t="shared" si="3"/>
        <v>115.97922000000001</v>
      </c>
      <c r="E34" s="38">
        <v>7</v>
      </c>
      <c r="F34" s="73">
        <f t="shared" si="4"/>
        <v>390.14442138054136</v>
      </c>
      <c r="G34" s="73">
        <f t="shared" si="1"/>
        <v>129.8010489933061</v>
      </c>
      <c r="I34" s="224" t="s">
        <v>66</v>
      </c>
      <c r="J34" s="225"/>
      <c r="K34" s="226"/>
      <c r="L34" s="130">
        <f>SUM(L32)</f>
        <v>0</v>
      </c>
      <c r="M34" s="8"/>
      <c r="N34" s="8"/>
    </row>
    <row r="35" spans="1:14" ht="15" customHeight="1" x14ac:dyDescent="0.2">
      <c r="A35" s="38">
        <v>6</v>
      </c>
      <c r="B35" s="73">
        <f t="shared" si="2"/>
        <v>257.23818653320001</v>
      </c>
      <c r="C35" s="74">
        <f t="shared" si="0"/>
        <v>298.79999999999995</v>
      </c>
      <c r="D35" s="73">
        <f t="shared" si="3"/>
        <v>99.410759999999968</v>
      </c>
      <c r="E35" s="38">
        <v>6</v>
      </c>
      <c r="F35" s="73">
        <f t="shared" si="4"/>
        <v>334.40950404046401</v>
      </c>
      <c r="G35" s="73">
        <f t="shared" si="1"/>
        <v>111.25804199426236</v>
      </c>
      <c r="I35" s="35"/>
      <c r="J35" s="19"/>
      <c r="K35" s="8"/>
      <c r="L35" s="115"/>
      <c r="M35" s="8"/>
      <c r="N35" s="136"/>
    </row>
    <row r="36" spans="1:14" ht="15" customHeight="1" x14ac:dyDescent="0.2">
      <c r="A36" s="38">
        <v>5</v>
      </c>
      <c r="B36" s="73">
        <f t="shared" si="2"/>
        <v>214.36515544433331</v>
      </c>
      <c r="C36" s="74">
        <f t="shared" si="0"/>
        <v>249</v>
      </c>
      <c r="D36" s="73">
        <f t="shared" si="3"/>
        <v>82.84229999999998</v>
      </c>
      <c r="E36" s="38">
        <v>5</v>
      </c>
      <c r="F36" s="73">
        <f t="shared" si="4"/>
        <v>278.67458670038667</v>
      </c>
      <c r="G36" s="73">
        <f t="shared" si="1"/>
        <v>92.71503499521863</v>
      </c>
      <c r="I36" s="227" t="s">
        <v>67</v>
      </c>
      <c r="J36" s="227"/>
      <c r="K36" s="227"/>
      <c r="L36" s="227"/>
      <c r="M36" s="228" t="s">
        <v>101</v>
      </c>
      <c r="N36" s="136"/>
    </row>
    <row r="37" spans="1:14" ht="15" customHeight="1" x14ac:dyDescent="0.2">
      <c r="A37" s="38">
        <v>4</v>
      </c>
      <c r="B37" s="73">
        <f t="shared" si="2"/>
        <v>171.49212435546667</v>
      </c>
      <c r="C37" s="74">
        <f t="shared" si="0"/>
        <v>199.2</v>
      </c>
      <c r="D37" s="73">
        <f t="shared" si="3"/>
        <v>66.273839999999979</v>
      </c>
      <c r="E37" s="38">
        <v>4</v>
      </c>
      <c r="F37" s="73">
        <f t="shared" si="4"/>
        <v>222.93966936030935</v>
      </c>
      <c r="G37" s="73">
        <f t="shared" si="1"/>
        <v>74.172027996174904</v>
      </c>
      <c r="I37" s="227"/>
      <c r="J37" s="227"/>
      <c r="K37" s="227"/>
      <c r="L37" s="227"/>
      <c r="M37" s="228"/>
      <c r="N37" s="136"/>
    </row>
    <row r="38" spans="1:14" ht="15" customHeight="1" x14ac:dyDescent="0.2">
      <c r="A38" s="38">
        <v>3</v>
      </c>
      <c r="B38" s="73">
        <f t="shared" si="2"/>
        <v>128.6190932666</v>
      </c>
      <c r="C38" s="74">
        <f t="shared" si="0"/>
        <v>149.39999999999998</v>
      </c>
      <c r="D38" s="73">
        <f t="shared" si="3"/>
        <v>49.705379999999984</v>
      </c>
      <c r="E38" s="38">
        <v>3</v>
      </c>
      <c r="F38" s="73">
        <f t="shared" si="4"/>
        <v>167.20475202023201</v>
      </c>
      <c r="G38" s="73">
        <f t="shared" si="1"/>
        <v>55.629020997131178</v>
      </c>
      <c r="I38" s="5"/>
    </row>
    <row r="39" spans="1:14" ht="15" customHeight="1" x14ac:dyDescent="0.2">
      <c r="A39" s="38">
        <v>2</v>
      </c>
      <c r="B39" s="73">
        <f t="shared" si="2"/>
        <v>85.746062177733336</v>
      </c>
      <c r="C39" s="74">
        <f t="shared" si="0"/>
        <v>99.6</v>
      </c>
      <c r="D39" s="73">
        <f t="shared" si="3"/>
        <v>33.136919999999989</v>
      </c>
      <c r="E39" s="38">
        <v>2</v>
      </c>
      <c r="F39" s="73">
        <f t="shared" si="4"/>
        <v>111.46983468015468</v>
      </c>
      <c r="G39" s="73">
        <f t="shared" si="1"/>
        <v>37.086013998087452</v>
      </c>
      <c r="I39" s="5"/>
    </row>
    <row r="40" spans="1:14" ht="15" customHeight="1" x14ac:dyDescent="0.2">
      <c r="A40" s="39">
        <v>1</v>
      </c>
      <c r="B40" s="75">
        <f t="shared" si="2"/>
        <v>42.873031088866668</v>
      </c>
      <c r="C40" s="76">
        <f t="shared" si="0"/>
        <v>49.8</v>
      </c>
      <c r="D40" s="75">
        <f t="shared" si="3"/>
        <v>16.568459999999995</v>
      </c>
      <c r="E40" s="39">
        <v>1</v>
      </c>
      <c r="F40" s="75">
        <f t="shared" si="4"/>
        <v>55.734917340077338</v>
      </c>
      <c r="G40" s="75">
        <f t="shared" si="1"/>
        <v>18.543006999043726</v>
      </c>
      <c r="I40" s="5"/>
    </row>
    <row r="41" spans="1:14" hidden="1" x14ac:dyDescent="0.2"/>
    <row r="42" spans="1:14" ht="15" hidden="1" thickBot="1" x14ac:dyDescent="0.25">
      <c r="C42" s="211" t="s">
        <v>93</v>
      </c>
    </row>
    <row r="43" spans="1:14" s="21" customFormat="1" ht="39.4" hidden="1" customHeight="1" thickBot="1" x14ac:dyDescent="0.25">
      <c r="A43" s="190"/>
      <c r="B43" s="208" t="s">
        <v>14</v>
      </c>
      <c r="C43" s="209">
        <v>11.62</v>
      </c>
      <c r="D43" s="190"/>
      <c r="E43" s="192"/>
      <c r="F43" s="190"/>
      <c r="G43" s="190"/>
      <c r="I43" s="193"/>
    </row>
    <row r="44" spans="1:14" hidden="1" x14ac:dyDescent="0.2"/>
  </sheetData>
  <sheetProtection algorithmName="SHA-512" hashValue="tQsaOjg0P+6mX47uJFSBgu3632qYFC37DngYN3VKR4I+Zk5b6IbjzztAR58P68RJbYCLbwZD19UPrWHYi0V24Q==" saltValue="3Q/kqfsoguzYwc5540tQyA==" spinCount="100000" sheet="1" objects="1" scenarios="1"/>
  <protectedRanges>
    <protectedRange sqref="M36" name="CALCULO RC"/>
    <protectedRange sqref="L8" name="RET TC_1"/>
    <protectedRange sqref="L23" name="DED_1"/>
    <protectedRange sqref="L26" name="RET TP_1"/>
  </protectedRanges>
  <mergeCells count="36">
    <mergeCell ref="I34:K34"/>
    <mergeCell ref="I36:L37"/>
    <mergeCell ref="M36:M37"/>
    <mergeCell ref="I29:L30"/>
    <mergeCell ref="I32:I33"/>
    <mergeCell ref="J32:J33"/>
    <mergeCell ref="K32:K33"/>
    <mergeCell ref="L32:L33"/>
    <mergeCell ref="I20:N21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B2:D2"/>
    <mergeCell ref="F2:G2"/>
    <mergeCell ref="A1:G1"/>
    <mergeCell ref="I2:K2"/>
    <mergeCell ref="L2:M2"/>
    <mergeCell ref="I1:M1"/>
  </mergeCells>
  <hyperlinks>
    <hyperlink ref="M36:M37" r:id="rId1" display="CALCULO RC" xr:uid="{00000000-0004-0000-04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topLeftCell="D1" zoomScale="94" zoomScaleNormal="94" workbookViewId="0">
      <selection activeCell="I1" sqref="I1:M1"/>
    </sheetView>
  </sheetViews>
  <sheetFormatPr baseColWidth="10" defaultColWidth="11.5703125" defaultRowHeight="14.25" x14ac:dyDescent="0.2"/>
  <cols>
    <col min="1" max="1" width="18.42578125" style="4" customWidth="1"/>
    <col min="2" max="2" width="24.5703125" style="68" customWidth="1"/>
    <col min="3" max="3" width="10.28515625" style="69" hidden="1" customWidth="1"/>
    <col min="4" max="4" width="18.42578125" style="68" customWidth="1"/>
    <col min="5" max="5" width="18.42578125" style="5" customWidth="1"/>
    <col min="6" max="6" width="24.7109375" style="68" customWidth="1"/>
    <col min="7" max="7" width="18.42578125" style="68" customWidth="1"/>
    <col min="8" max="8" width="11.5703125" style="5"/>
    <col min="9" max="9" width="20.7109375" style="7" customWidth="1"/>
    <col min="10" max="10" width="19.7109375" style="5" customWidth="1"/>
    <col min="11" max="11" width="20.5703125" style="5" customWidth="1"/>
    <col min="12" max="12" width="17.28515625" style="5" customWidth="1"/>
    <col min="13" max="13" width="15.5703125" style="5" customWidth="1"/>
    <col min="14" max="16384" width="11.5703125" style="5"/>
  </cols>
  <sheetData>
    <row r="1" spans="1:14" s="8" customFormat="1" ht="43.15" customHeight="1" x14ac:dyDescent="0.2">
      <c r="A1" s="264" t="s">
        <v>112</v>
      </c>
      <c r="B1" s="265"/>
      <c r="C1" s="265"/>
      <c r="D1" s="265"/>
      <c r="E1" s="265"/>
      <c r="F1" s="265"/>
      <c r="G1" s="265"/>
      <c r="I1" s="260" t="s">
        <v>115</v>
      </c>
      <c r="J1" s="261"/>
      <c r="K1" s="261"/>
      <c r="L1" s="261"/>
      <c r="M1" s="262"/>
    </row>
    <row r="2" spans="1:14" s="36" customFormat="1" ht="24.75" customHeight="1" x14ac:dyDescent="0.2">
      <c r="A2" s="44"/>
      <c r="B2" s="307" t="s">
        <v>47</v>
      </c>
      <c r="C2" s="307"/>
      <c r="D2" s="308"/>
      <c r="E2" s="42"/>
      <c r="F2" s="307" t="s">
        <v>48</v>
      </c>
      <c r="G2" s="308"/>
      <c r="I2" s="266" t="s">
        <v>50</v>
      </c>
      <c r="J2" s="266"/>
      <c r="K2" s="266"/>
      <c r="L2" s="266" t="s">
        <v>54</v>
      </c>
      <c r="M2" s="266"/>
    </row>
    <row r="3" spans="1:14" s="27" customFormat="1" ht="38.25" x14ac:dyDescent="0.2">
      <c r="A3" s="43" t="s">
        <v>45</v>
      </c>
      <c r="B3" s="65" t="s">
        <v>46</v>
      </c>
      <c r="C3" s="66" t="s">
        <v>89</v>
      </c>
      <c r="D3" s="67" t="s">
        <v>108</v>
      </c>
      <c r="E3" s="40" t="s">
        <v>45</v>
      </c>
      <c r="F3" s="65" t="s">
        <v>46</v>
      </c>
      <c r="G3" s="67" t="s">
        <v>109</v>
      </c>
      <c r="I3" s="124" t="s">
        <v>49</v>
      </c>
      <c r="J3" s="124" t="s">
        <v>60</v>
      </c>
      <c r="K3" s="124" t="s">
        <v>61</v>
      </c>
      <c r="L3" s="125" t="s">
        <v>52</v>
      </c>
      <c r="M3" s="124" t="s">
        <v>53</v>
      </c>
    </row>
    <row r="4" spans="1:14" ht="15" customHeight="1" x14ac:dyDescent="0.2">
      <c r="A4" s="37">
        <v>37.5</v>
      </c>
      <c r="B4" s="71">
        <f>PARAMETROS!B7</f>
        <v>1507.2548910518001</v>
      </c>
      <c r="C4" s="72"/>
      <c r="D4" s="71"/>
      <c r="E4" s="37">
        <v>37.5</v>
      </c>
      <c r="F4" s="71">
        <f>PARAMETROS!C7</f>
        <v>1959.4318775649499</v>
      </c>
      <c r="G4" s="71">
        <f>IF(F4&gt;$K$4,$K$4*$K$18%,F4*$K$18%)</f>
        <v>651.90298566585875</v>
      </c>
      <c r="I4" s="267">
        <v>2</v>
      </c>
      <c r="J4" s="309">
        <v>1599.6</v>
      </c>
      <c r="K4" s="310">
        <v>4909.5</v>
      </c>
      <c r="L4" s="311">
        <v>1381.2</v>
      </c>
      <c r="M4" s="310">
        <v>4909.5</v>
      </c>
      <c r="N4" s="8"/>
    </row>
    <row r="5" spans="1:14" x14ac:dyDescent="0.2">
      <c r="A5" s="38">
        <v>36</v>
      </c>
      <c r="B5" s="73">
        <f>PRODUCT(B$4,A5)/A$4</f>
        <v>1446.9646954097282</v>
      </c>
      <c r="C5" s="74">
        <f t="shared" ref="C5:C40" si="0">(A5/$A$4*7.5*5)/7*30*$C$43</f>
        <v>1487.3142857142859</v>
      </c>
      <c r="D5" s="73">
        <f>IF(B5&lt;C5,C5*$K$18%,B5*$K$18%)</f>
        <v>494.82946285714286</v>
      </c>
      <c r="E5" s="38">
        <v>36</v>
      </c>
      <c r="F5" s="73">
        <f>PRODUCT(F$4,E5)/E$4</f>
        <v>1881.054602462352</v>
      </c>
      <c r="G5" s="73">
        <f t="shared" ref="G5:G40" si="1">IF(F5&gt;$K$4,$K$4*$K$18%,F5*$K$18%)</f>
        <v>625.82686623922439</v>
      </c>
      <c r="I5" s="267"/>
      <c r="J5" s="309"/>
      <c r="K5" s="310"/>
      <c r="L5" s="311"/>
      <c r="M5" s="310"/>
      <c r="N5" s="8"/>
    </row>
    <row r="6" spans="1:14" x14ac:dyDescent="0.2">
      <c r="A6" s="38">
        <v>35</v>
      </c>
      <c r="B6" s="73">
        <f t="shared" ref="B6:B40" si="2">PRODUCT(B$4,A6)/A$4</f>
        <v>1406.7712316483467</v>
      </c>
      <c r="C6" s="74">
        <f t="shared" si="0"/>
        <v>1446</v>
      </c>
      <c r="D6" s="73">
        <f t="shared" ref="D6:D40" si="3">IF(B6&lt;C6,C6*$K$18%,B6*$K$18%)</f>
        <v>481.0841999999999</v>
      </c>
      <c r="E6" s="38">
        <v>35</v>
      </c>
      <c r="F6" s="73">
        <f t="shared" ref="F6:F40" si="4">PRODUCT(F$4,E6)/E$4</f>
        <v>1828.8030857272865</v>
      </c>
      <c r="G6" s="73">
        <f t="shared" si="1"/>
        <v>608.44278662146814</v>
      </c>
      <c r="I6" s="35"/>
      <c r="J6" s="8"/>
      <c r="K6" s="8"/>
      <c r="L6" s="115"/>
      <c r="M6" s="8"/>
      <c r="N6" s="8"/>
    </row>
    <row r="7" spans="1:14" ht="15" thickBot="1" x14ac:dyDescent="0.25">
      <c r="A7" s="38">
        <v>34</v>
      </c>
      <c r="B7" s="73">
        <f t="shared" si="2"/>
        <v>1366.5777678869656</v>
      </c>
      <c r="C7" s="74">
        <f t="shared" si="0"/>
        <v>1404.6857142857141</v>
      </c>
      <c r="D7" s="73">
        <f t="shared" si="3"/>
        <v>467.33893714285699</v>
      </c>
      <c r="E7" s="38">
        <v>34</v>
      </c>
      <c r="F7" s="73">
        <f t="shared" si="4"/>
        <v>1776.5515689922213</v>
      </c>
      <c r="G7" s="73">
        <f t="shared" si="1"/>
        <v>591.0587070037119</v>
      </c>
      <c r="I7" s="35"/>
      <c r="J7" s="19"/>
      <c r="K7" s="8"/>
      <c r="L7" s="115"/>
      <c r="M7" s="8"/>
      <c r="N7" s="8"/>
    </row>
    <row r="8" spans="1:14" x14ac:dyDescent="0.2">
      <c r="A8" s="38">
        <v>33</v>
      </c>
      <c r="B8" s="73">
        <f t="shared" si="2"/>
        <v>1326.3843041255841</v>
      </c>
      <c r="C8" s="74">
        <f t="shared" si="0"/>
        <v>1363.3714285714289</v>
      </c>
      <c r="D8" s="73">
        <f t="shared" si="3"/>
        <v>453.59367428571431</v>
      </c>
      <c r="E8" s="38">
        <v>33</v>
      </c>
      <c r="F8" s="73">
        <f t="shared" si="4"/>
        <v>1724.300052257156</v>
      </c>
      <c r="G8" s="73">
        <f t="shared" si="1"/>
        <v>573.67462738595566</v>
      </c>
      <c r="I8" s="237" t="s">
        <v>87</v>
      </c>
      <c r="J8" s="237"/>
      <c r="K8" s="238"/>
      <c r="L8" s="241">
        <v>0</v>
      </c>
      <c r="M8" s="8"/>
      <c r="N8" s="8"/>
    </row>
    <row r="9" spans="1:14" ht="15" thickBot="1" x14ac:dyDescent="0.25">
      <c r="A9" s="38">
        <v>32</v>
      </c>
      <c r="B9" s="73">
        <f t="shared" si="2"/>
        <v>1286.1908403642028</v>
      </c>
      <c r="C9" s="74">
        <f t="shared" si="0"/>
        <v>1322.0571428571429</v>
      </c>
      <c r="D9" s="73">
        <f t="shared" si="3"/>
        <v>439.84841142857135</v>
      </c>
      <c r="E9" s="38">
        <v>32</v>
      </c>
      <c r="F9" s="73">
        <f t="shared" si="4"/>
        <v>1672.0485355220906</v>
      </c>
      <c r="G9" s="73">
        <f t="shared" si="1"/>
        <v>556.29054776819942</v>
      </c>
      <c r="I9" s="237"/>
      <c r="J9" s="237"/>
      <c r="K9" s="238"/>
      <c r="L9" s="242"/>
      <c r="M9" s="8"/>
      <c r="N9" s="8"/>
    </row>
    <row r="10" spans="1:14" ht="15" thickBot="1" x14ac:dyDescent="0.25">
      <c r="A10" s="38">
        <v>31</v>
      </c>
      <c r="B10" s="73">
        <f t="shared" si="2"/>
        <v>1245.9973766028213</v>
      </c>
      <c r="C10" s="74">
        <f t="shared" si="0"/>
        <v>1280.7428571428572</v>
      </c>
      <c r="D10" s="73">
        <f t="shared" si="3"/>
        <v>426.10314857142851</v>
      </c>
      <c r="E10" s="38">
        <v>31</v>
      </c>
      <c r="F10" s="73">
        <f t="shared" si="4"/>
        <v>1619.7970187870253</v>
      </c>
      <c r="G10" s="73">
        <f t="shared" si="1"/>
        <v>538.90646815044317</v>
      </c>
      <c r="I10" s="120"/>
      <c r="J10" s="121"/>
      <c r="K10" s="122"/>
      <c r="L10" s="123"/>
      <c r="M10" s="8"/>
      <c r="N10" s="8"/>
    </row>
    <row r="11" spans="1:14" x14ac:dyDescent="0.2">
      <c r="A11" s="38">
        <v>30</v>
      </c>
      <c r="B11" s="73">
        <f t="shared" si="2"/>
        <v>1205.80391284144</v>
      </c>
      <c r="C11" s="74">
        <f t="shared" si="0"/>
        <v>1239.4285714285713</v>
      </c>
      <c r="D11" s="73">
        <f t="shared" si="3"/>
        <v>412.3578857142856</v>
      </c>
      <c r="E11" s="38">
        <v>30</v>
      </c>
      <c r="F11" s="73">
        <f t="shared" si="4"/>
        <v>1567.5455020519598</v>
      </c>
      <c r="G11" s="73">
        <f t="shared" si="1"/>
        <v>521.52238853268693</v>
      </c>
      <c r="I11" s="243" t="s">
        <v>62</v>
      </c>
      <c r="J11" s="244"/>
      <c r="K11" s="244"/>
      <c r="L11" s="245"/>
      <c r="M11" s="8"/>
      <c r="N11" s="8"/>
    </row>
    <row r="12" spans="1:14" ht="15" thickBot="1" x14ac:dyDescent="0.25">
      <c r="A12" s="38">
        <v>29</v>
      </c>
      <c r="B12" s="73">
        <f t="shared" si="2"/>
        <v>1165.6104490800587</v>
      </c>
      <c r="C12" s="74">
        <f t="shared" si="0"/>
        <v>1198.1142857142859</v>
      </c>
      <c r="D12" s="73">
        <f t="shared" si="3"/>
        <v>398.61262285714281</v>
      </c>
      <c r="E12" s="38">
        <v>29</v>
      </c>
      <c r="F12" s="73">
        <f t="shared" si="4"/>
        <v>1515.2939853168946</v>
      </c>
      <c r="G12" s="73">
        <f t="shared" si="1"/>
        <v>504.13830891493075</v>
      </c>
      <c r="I12" s="246"/>
      <c r="J12" s="247"/>
      <c r="K12" s="247"/>
      <c r="L12" s="248"/>
      <c r="M12" s="8"/>
      <c r="N12" s="8"/>
    </row>
    <row r="13" spans="1:14" ht="15" thickBot="1" x14ac:dyDescent="0.25">
      <c r="A13" s="38">
        <v>28</v>
      </c>
      <c r="B13" s="73">
        <f t="shared" si="2"/>
        <v>1125.4169853186775</v>
      </c>
      <c r="C13" s="74">
        <f t="shared" si="0"/>
        <v>1156.8000000000004</v>
      </c>
      <c r="D13" s="73">
        <f t="shared" si="3"/>
        <v>384.86736000000008</v>
      </c>
      <c r="E13" s="38">
        <v>28</v>
      </c>
      <c r="F13" s="73">
        <f t="shared" si="4"/>
        <v>1463.0424685818293</v>
      </c>
      <c r="G13" s="73">
        <f t="shared" si="1"/>
        <v>486.7542292971745</v>
      </c>
      <c r="I13" s="117"/>
      <c r="J13" s="118" t="s">
        <v>55</v>
      </c>
      <c r="K13" s="133" t="s">
        <v>56</v>
      </c>
      <c r="L13" s="119" t="s">
        <v>57</v>
      </c>
      <c r="M13" s="8"/>
      <c r="N13" s="8"/>
    </row>
    <row r="14" spans="1:14" x14ac:dyDescent="0.2">
      <c r="A14" s="38">
        <v>27</v>
      </c>
      <c r="B14" s="73">
        <f t="shared" si="2"/>
        <v>1085.223521557296</v>
      </c>
      <c r="C14" s="74">
        <f t="shared" si="0"/>
        <v>1115.4857142857143</v>
      </c>
      <c r="D14" s="73">
        <f t="shared" si="3"/>
        <v>371.12209714285706</v>
      </c>
      <c r="E14" s="38">
        <v>27</v>
      </c>
      <c r="F14" s="73">
        <f t="shared" si="4"/>
        <v>1410.7909518467638</v>
      </c>
      <c r="G14" s="73">
        <f t="shared" si="1"/>
        <v>469.37014967941826</v>
      </c>
      <c r="I14" s="249" t="s">
        <v>58</v>
      </c>
      <c r="J14" s="251">
        <f>IF(L8&gt;=J4,L8,J4)</f>
        <v>1599.6</v>
      </c>
      <c r="K14" s="253">
        <v>24.27</v>
      </c>
      <c r="L14" s="258">
        <f>J14*K14%</f>
        <v>388.22291999999999</v>
      </c>
      <c r="M14" s="8"/>
      <c r="N14" s="8"/>
    </row>
    <row r="15" spans="1:14" ht="15" thickBot="1" x14ac:dyDescent="0.25">
      <c r="A15" s="38">
        <v>26</v>
      </c>
      <c r="B15" s="73">
        <f t="shared" si="2"/>
        <v>1045.0300577959147</v>
      </c>
      <c r="C15" s="74">
        <f t="shared" si="0"/>
        <v>1074.1714285714286</v>
      </c>
      <c r="D15" s="73">
        <f t="shared" si="3"/>
        <v>357.37683428571421</v>
      </c>
      <c r="E15" s="38">
        <v>26</v>
      </c>
      <c r="F15" s="73">
        <f t="shared" si="4"/>
        <v>1358.5394351116986</v>
      </c>
      <c r="G15" s="73">
        <f t="shared" si="1"/>
        <v>451.98607006166202</v>
      </c>
      <c r="I15" s="250"/>
      <c r="J15" s="252"/>
      <c r="K15" s="254"/>
      <c r="L15" s="259"/>
      <c r="M15" s="8"/>
      <c r="N15" s="8"/>
    </row>
    <row r="16" spans="1:14" x14ac:dyDescent="0.2">
      <c r="A16" s="38">
        <v>25</v>
      </c>
      <c r="B16" s="73">
        <f t="shared" si="2"/>
        <v>1004.8365940345335</v>
      </c>
      <c r="C16" s="74">
        <f t="shared" si="0"/>
        <v>1032.8571428571431</v>
      </c>
      <c r="D16" s="73">
        <f t="shared" si="3"/>
        <v>343.63157142857148</v>
      </c>
      <c r="E16" s="38">
        <v>25</v>
      </c>
      <c r="F16" s="73">
        <f t="shared" si="4"/>
        <v>1306.2879183766333</v>
      </c>
      <c r="G16" s="73">
        <f t="shared" si="1"/>
        <v>434.60199044390583</v>
      </c>
      <c r="I16" s="256" t="s">
        <v>59</v>
      </c>
      <c r="J16" s="251">
        <f>IF(L8&gt;=L4,L8,L4)</f>
        <v>1381.2</v>
      </c>
      <c r="K16" s="253">
        <v>9</v>
      </c>
      <c r="L16" s="235">
        <f>J16*K16%</f>
        <v>124.30799999999999</v>
      </c>
      <c r="M16" s="8"/>
      <c r="N16" s="8"/>
    </row>
    <row r="17" spans="1:14" ht="15" thickBot="1" x14ac:dyDescent="0.25">
      <c r="A17" s="38">
        <v>24</v>
      </c>
      <c r="B17" s="73">
        <f t="shared" si="2"/>
        <v>964.64313027315211</v>
      </c>
      <c r="C17" s="74">
        <f t="shared" si="0"/>
        <v>991.54285714285709</v>
      </c>
      <c r="D17" s="73">
        <f t="shared" si="3"/>
        <v>329.88630857142851</v>
      </c>
      <c r="E17" s="38">
        <v>24</v>
      </c>
      <c r="F17" s="73">
        <f t="shared" si="4"/>
        <v>1254.0364016415679</v>
      </c>
      <c r="G17" s="73">
        <f t="shared" si="1"/>
        <v>417.21791082614953</v>
      </c>
      <c r="I17" s="257"/>
      <c r="J17" s="252"/>
      <c r="K17" s="254">
        <v>0.2</v>
      </c>
      <c r="L17" s="255"/>
      <c r="M17" s="8"/>
      <c r="N17" s="8"/>
    </row>
    <row r="18" spans="1:14" ht="15" thickBot="1" x14ac:dyDescent="0.25">
      <c r="A18" s="38">
        <v>23</v>
      </c>
      <c r="B18" s="73">
        <f t="shared" si="2"/>
        <v>924.44966651177072</v>
      </c>
      <c r="C18" s="74">
        <f t="shared" si="0"/>
        <v>950.22857142857151</v>
      </c>
      <c r="D18" s="73">
        <f t="shared" si="3"/>
        <v>316.14104571428567</v>
      </c>
      <c r="E18" s="38">
        <v>23</v>
      </c>
      <c r="F18" s="73">
        <f t="shared" si="4"/>
        <v>1201.7848849065026</v>
      </c>
      <c r="G18" s="73">
        <f t="shared" si="1"/>
        <v>399.83383120839335</v>
      </c>
      <c r="I18" s="274" t="s">
        <v>63</v>
      </c>
      <c r="J18" s="275"/>
      <c r="K18" s="134">
        <f>(K14+K16)</f>
        <v>33.269999999999996</v>
      </c>
      <c r="L18" s="130">
        <f>SUM(L14:L17)</f>
        <v>512.53091999999992</v>
      </c>
      <c r="M18" s="8"/>
      <c r="N18" s="8"/>
    </row>
    <row r="19" spans="1:14" x14ac:dyDescent="0.2">
      <c r="A19" s="38">
        <v>22</v>
      </c>
      <c r="B19" s="73">
        <f t="shared" si="2"/>
        <v>884.25620275038932</v>
      </c>
      <c r="C19" s="74">
        <f t="shared" si="0"/>
        <v>908.91428571428571</v>
      </c>
      <c r="D19" s="73">
        <f t="shared" si="3"/>
        <v>302.39578285714282</v>
      </c>
      <c r="E19" s="38">
        <v>22</v>
      </c>
      <c r="F19" s="73">
        <f t="shared" si="4"/>
        <v>1149.5333681714371</v>
      </c>
      <c r="G19" s="73">
        <f t="shared" si="1"/>
        <v>382.44975159063705</v>
      </c>
      <c r="I19" s="126"/>
      <c r="J19" s="127"/>
      <c r="K19" s="128"/>
      <c r="L19" s="129"/>
      <c r="M19" s="8"/>
      <c r="N19" s="8"/>
    </row>
    <row r="20" spans="1:14" ht="14.25" customHeight="1" x14ac:dyDescent="0.2">
      <c r="A20" s="38">
        <v>21</v>
      </c>
      <c r="B20" s="73">
        <f t="shared" si="2"/>
        <v>844.06273898900804</v>
      </c>
      <c r="C20" s="74">
        <f t="shared" si="0"/>
        <v>867.6</v>
      </c>
      <c r="D20" s="73">
        <f t="shared" si="3"/>
        <v>288.65051999999997</v>
      </c>
      <c r="E20" s="38">
        <v>21</v>
      </c>
      <c r="F20" s="73">
        <f t="shared" si="4"/>
        <v>1097.2818514363719</v>
      </c>
      <c r="G20" s="73">
        <f t="shared" si="1"/>
        <v>365.06567197288086</v>
      </c>
      <c r="I20" s="263" t="s">
        <v>77</v>
      </c>
      <c r="J20" s="263"/>
      <c r="K20" s="263"/>
      <c r="L20" s="263"/>
      <c r="M20" s="263"/>
      <c r="N20" s="147"/>
    </row>
    <row r="21" spans="1:14" x14ac:dyDescent="0.2">
      <c r="A21" s="38">
        <v>20</v>
      </c>
      <c r="B21" s="73">
        <f t="shared" si="2"/>
        <v>803.86927522762664</v>
      </c>
      <c r="C21" s="74">
        <f t="shared" si="0"/>
        <v>826.28571428571445</v>
      </c>
      <c r="D21" s="73">
        <f t="shared" si="3"/>
        <v>274.90525714285712</v>
      </c>
      <c r="E21" s="38">
        <v>20</v>
      </c>
      <c r="F21" s="73">
        <f t="shared" si="4"/>
        <v>1045.0303347013066</v>
      </c>
      <c r="G21" s="73">
        <f t="shared" si="1"/>
        <v>347.68159235512468</v>
      </c>
      <c r="I21" s="263"/>
      <c r="J21" s="263"/>
      <c r="K21" s="263"/>
      <c r="L21" s="263"/>
      <c r="M21" s="263"/>
      <c r="N21" s="147"/>
    </row>
    <row r="22" spans="1:14" ht="15" thickBot="1" x14ac:dyDescent="0.25">
      <c r="A22" s="38">
        <v>19</v>
      </c>
      <c r="B22" s="73">
        <f t="shared" si="2"/>
        <v>763.67581146624536</v>
      </c>
      <c r="C22" s="74">
        <f t="shared" si="0"/>
        <v>784.97142857142865</v>
      </c>
      <c r="D22" s="73">
        <f t="shared" si="3"/>
        <v>261.15999428571428</v>
      </c>
      <c r="E22" s="38">
        <v>19</v>
      </c>
      <c r="F22" s="73">
        <f t="shared" si="4"/>
        <v>992.77881796624126</v>
      </c>
      <c r="G22" s="73">
        <f t="shared" si="1"/>
        <v>330.29751273736844</v>
      </c>
      <c r="I22" s="35"/>
      <c r="J22" s="19"/>
      <c r="K22" s="8"/>
      <c r="L22" s="115"/>
      <c r="M22" s="8"/>
      <c r="N22" s="8"/>
    </row>
    <row r="23" spans="1:14" x14ac:dyDescent="0.2">
      <c r="A23" s="38">
        <v>18</v>
      </c>
      <c r="B23" s="73">
        <f t="shared" si="2"/>
        <v>723.48234770486408</v>
      </c>
      <c r="C23" s="74">
        <f t="shared" si="0"/>
        <v>743.65714285714296</v>
      </c>
      <c r="D23" s="73">
        <f t="shared" si="3"/>
        <v>247.41473142857143</v>
      </c>
      <c r="E23" s="38">
        <v>18</v>
      </c>
      <c r="F23" s="73">
        <f t="shared" si="4"/>
        <v>940.52730123117601</v>
      </c>
      <c r="G23" s="73">
        <f t="shared" si="1"/>
        <v>312.91343311961219</v>
      </c>
      <c r="I23" s="237" t="s">
        <v>64</v>
      </c>
      <c r="J23" s="237"/>
      <c r="K23" s="238"/>
      <c r="L23" s="276">
        <v>0</v>
      </c>
      <c r="M23" s="8"/>
      <c r="N23" s="8"/>
    </row>
    <row r="24" spans="1:14" ht="15" thickBot="1" x14ac:dyDescent="0.25">
      <c r="A24" s="38">
        <v>17</v>
      </c>
      <c r="B24" s="73">
        <f t="shared" si="2"/>
        <v>683.2888839434828</v>
      </c>
      <c r="C24" s="74">
        <f t="shared" si="0"/>
        <v>702.34285714285704</v>
      </c>
      <c r="D24" s="73">
        <f t="shared" si="3"/>
        <v>233.6694685714285</v>
      </c>
      <c r="E24" s="38">
        <v>17</v>
      </c>
      <c r="F24" s="73">
        <f t="shared" si="4"/>
        <v>888.27578449611065</v>
      </c>
      <c r="G24" s="73">
        <f t="shared" si="1"/>
        <v>295.52935350185595</v>
      </c>
      <c r="I24" s="237"/>
      <c r="J24" s="237"/>
      <c r="K24" s="238"/>
      <c r="L24" s="277"/>
      <c r="M24" s="8"/>
      <c r="N24" s="8"/>
    </row>
    <row r="25" spans="1:14" ht="15" thickBot="1" x14ac:dyDescent="0.25">
      <c r="A25" s="38">
        <v>16</v>
      </c>
      <c r="B25" s="73">
        <f t="shared" si="2"/>
        <v>643.09542018210141</v>
      </c>
      <c r="C25" s="74">
        <f t="shared" si="0"/>
        <v>661.02857142857147</v>
      </c>
      <c r="D25" s="73">
        <f t="shared" si="3"/>
        <v>219.92420571428568</v>
      </c>
      <c r="E25" s="38">
        <v>16</v>
      </c>
      <c r="F25" s="73">
        <f t="shared" si="4"/>
        <v>836.02426776104528</v>
      </c>
      <c r="G25" s="73">
        <f t="shared" si="1"/>
        <v>278.14527388409971</v>
      </c>
      <c r="I25" s="35"/>
      <c r="J25" s="19"/>
      <c r="K25" s="8"/>
      <c r="L25" s="115"/>
      <c r="M25" s="8"/>
      <c r="N25" s="8"/>
    </row>
    <row r="26" spans="1:14" x14ac:dyDescent="0.2">
      <c r="A26" s="38">
        <v>15</v>
      </c>
      <c r="B26" s="73">
        <f t="shared" si="2"/>
        <v>602.90195642072001</v>
      </c>
      <c r="C26" s="74">
        <f t="shared" si="0"/>
        <v>619.71428571428567</v>
      </c>
      <c r="D26" s="73">
        <f t="shared" si="3"/>
        <v>206.1789428571428</v>
      </c>
      <c r="E26" s="38">
        <v>15</v>
      </c>
      <c r="F26" s="73">
        <f t="shared" si="4"/>
        <v>783.77275102597991</v>
      </c>
      <c r="G26" s="73">
        <f t="shared" si="1"/>
        <v>260.76119426634347</v>
      </c>
      <c r="I26" s="237" t="s">
        <v>68</v>
      </c>
      <c r="J26" s="237"/>
      <c r="K26" s="238"/>
      <c r="L26" s="241">
        <v>0</v>
      </c>
      <c r="M26" s="8"/>
      <c r="N26" s="8"/>
    </row>
    <row r="27" spans="1:14" ht="15" thickBot="1" x14ac:dyDescent="0.25">
      <c r="A27" s="38">
        <v>14</v>
      </c>
      <c r="B27" s="73">
        <f t="shared" si="2"/>
        <v>562.70849265933873</v>
      </c>
      <c r="C27" s="74">
        <f t="shared" si="0"/>
        <v>578.4000000000002</v>
      </c>
      <c r="D27" s="73">
        <f t="shared" si="3"/>
        <v>192.43368000000004</v>
      </c>
      <c r="E27" s="38">
        <v>14</v>
      </c>
      <c r="F27" s="73">
        <f t="shared" si="4"/>
        <v>731.52123429091466</v>
      </c>
      <c r="G27" s="73">
        <f t="shared" si="1"/>
        <v>243.37711464858725</v>
      </c>
      <c r="I27" s="237"/>
      <c r="J27" s="237"/>
      <c r="K27" s="238"/>
      <c r="L27" s="242"/>
      <c r="M27" s="8"/>
      <c r="N27" s="8"/>
    </row>
    <row r="28" spans="1:14" ht="15" thickBot="1" x14ac:dyDescent="0.25">
      <c r="A28" s="38">
        <v>13</v>
      </c>
      <c r="B28" s="73">
        <f t="shared" si="2"/>
        <v>522.51502889795734</v>
      </c>
      <c r="C28" s="74">
        <f t="shared" si="0"/>
        <v>537.08571428571429</v>
      </c>
      <c r="D28" s="73">
        <f t="shared" si="3"/>
        <v>178.68841714285711</v>
      </c>
      <c r="E28" s="38">
        <v>13</v>
      </c>
      <c r="F28" s="73">
        <f t="shared" si="4"/>
        <v>679.2697175558493</v>
      </c>
      <c r="G28" s="73">
        <f t="shared" si="1"/>
        <v>225.99303503083101</v>
      </c>
      <c r="I28" s="35"/>
      <c r="J28" s="19"/>
      <c r="K28" s="8"/>
      <c r="L28" s="115"/>
      <c r="M28" s="8"/>
      <c r="N28" s="8"/>
    </row>
    <row r="29" spans="1:14" x14ac:dyDescent="0.2">
      <c r="A29" s="38">
        <v>12</v>
      </c>
      <c r="B29" s="73">
        <f t="shared" si="2"/>
        <v>482.32156513657606</v>
      </c>
      <c r="C29" s="74">
        <f t="shared" si="0"/>
        <v>495.77142857142854</v>
      </c>
      <c r="D29" s="73">
        <f t="shared" si="3"/>
        <v>164.94315428571426</v>
      </c>
      <c r="E29" s="38">
        <v>12</v>
      </c>
      <c r="F29" s="73">
        <f t="shared" si="4"/>
        <v>627.01820082078393</v>
      </c>
      <c r="G29" s="73">
        <f t="shared" si="1"/>
        <v>208.60895541307477</v>
      </c>
      <c r="I29" s="243" t="s">
        <v>65</v>
      </c>
      <c r="J29" s="244"/>
      <c r="K29" s="244"/>
      <c r="L29" s="245"/>
      <c r="M29" s="8"/>
      <c r="N29" s="8"/>
    </row>
    <row r="30" spans="1:14" ht="15" thickBot="1" x14ac:dyDescent="0.25">
      <c r="A30" s="38">
        <v>11</v>
      </c>
      <c r="B30" s="73">
        <f t="shared" si="2"/>
        <v>442.12810137519466</v>
      </c>
      <c r="C30" s="74">
        <f t="shared" si="0"/>
        <v>454.45714285714286</v>
      </c>
      <c r="D30" s="73">
        <f t="shared" si="3"/>
        <v>151.19789142857141</v>
      </c>
      <c r="E30" s="38">
        <v>11</v>
      </c>
      <c r="F30" s="73">
        <f t="shared" si="4"/>
        <v>574.76668408571857</v>
      </c>
      <c r="G30" s="73">
        <f t="shared" si="1"/>
        <v>191.22487579531852</v>
      </c>
      <c r="I30" s="246"/>
      <c r="J30" s="247"/>
      <c r="K30" s="247"/>
      <c r="L30" s="248"/>
      <c r="M30" s="8"/>
      <c r="N30" s="8"/>
    </row>
    <row r="31" spans="1:14" ht="15" thickBot="1" x14ac:dyDescent="0.25">
      <c r="A31" s="38">
        <v>10</v>
      </c>
      <c r="B31" s="73">
        <f t="shared" si="2"/>
        <v>401.93463761381332</v>
      </c>
      <c r="C31" s="74">
        <f t="shared" si="0"/>
        <v>413.14285714285722</v>
      </c>
      <c r="D31" s="73">
        <f t="shared" si="3"/>
        <v>137.45262857142856</v>
      </c>
      <c r="E31" s="38">
        <v>10</v>
      </c>
      <c r="F31" s="73">
        <f t="shared" si="4"/>
        <v>522.51516735065331</v>
      </c>
      <c r="G31" s="73">
        <f t="shared" si="1"/>
        <v>173.84079617756234</v>
      </c>
      <c r="I31" s="137" t="s">
        <v>69</v>
      </c>
      <c r="J31" s="135" t="s">
        <v>55</v>
      </c>
      <c r="K31" s="133" t="s">
        <v>70</v>
      </c>
      <c r="L31" s="119" t="s">
        <v>57</v>
      </c>
      <c r="M31" s="8"/>
      <c r="N31" s="8"/>
    </row>
    <row r="32" spans="1:14" x14ac:dyDescent="0.2">
      <c r="A32" s="38">
        <v>9</v>
      </c>
      <c r="B32" s="73">
        <f t="shared" si="2"/>
        <v>361.74117385243204</v>
      </c>
      <c r="C32" s="74">
        <f t="shared" si="0"/>
        <v>371.82857142857148</v>
      </c>
      <c r="D32" s="73">
        <f t="shared" si="3"/>
        <v>123.70736571428571</v>
      </c>
      <c r="E32" s="38">
        <v>9</v>
      </c>
      <c r="F32" s="73">
        <f t="shared" si="4"/>
        <v>470.26365061558801</v>
      </c>
      <c r="G32" s="73">
        <f t="shared" si="1"/>
        <v>156.4567165598061</v>
      </c>
      <c r="I32" s="229">
        <f>((L23/37.5*7.5*5)/7)*30*$C$43</f>
        <v>0</v>
      </c>
      <c r="J32" s="231">
        <f>IF(L26&lt;I32,I32,L26)</f>
        <v>0</v>
      </c>
      <c r="K32" s="233">
        <v>33.270000000000003</v>
      </c>
      <c r="L32" s="235">
        <f>J32*K32%</f>
        <v>0</v>
      </c>
      <c r="M32" s="8"/>
      <c r="N32" s="8"/>
    </row>
    <row r="33" spans="1:14" ht="15" thickBot="1" x14ac:dyDescent="0.25">
      <c r="A33" s="38">
        <v>8</v>
      </c>
      <c r="B33" s="73">
        <f t="shared" si="2"/>
        <v>321.5477100910507</v>
      </c>
      <c r="C33" s="74">
        <f t="shared" si="0"/>
        <v>330.51428571428573</v>
      </c>
      <c r="D33" s="73">
        <f t="shared" si="3"/>
        <v>109.96210285714284</v>
      </c>
      <c r="E33" s="38">
        <v>8</v>
      </c>
      <c r="F33" s="73">
        <f t="shared" si="4"/>
        <v>418.01213388052264</v>
      </c>
      <c r="G33" s="73">
        <f t="shared" si="1"/>
        <v>139.07263694204985</v>
      </c>
      <c r="I33" s="230"/>
      <c r="J33" s="232"/>
      <c r="K33" s="234"/>
      <c r="L33" s="236"/>
      <c r="M33" s="8"/>
      <c r="N33" s="8"/>
    </row>
    <row r="34" spans="1:14" ht="15" thickBot="1" x14ac:dyDescent="0.25">
      <c r="A34" s="38">
        <v>7</v>
      </c>
      <c r="B34" s="73">
        <f t="shared" si="2"/>
        <v>281.35424632966937</v>
      </c>
      <c r="C34" s="74">
        <f t="shared" si="0"/>
        <v>289.2000000000001</v>
      </c>
      <c r="D34" s="73">
        <f t="shared" si="3"/>
        <v>96.216840000000019</v>
      </c>
      <c r="E34" s="38">
        <v>7</v>
      </c>
      <c r="F34" s="73">
        <f t="shared" si="4"/>
        <v>365.76061714545733</v>
      </c>
      <c r="G34" s="73">
        <f t="shared" si="1"/>
        <v>121.68855732429363</v>
      </c>
      <c r="I34" s="224" t="s">
        <v>66</v>
      </c>
      <c r="J34" s="225"/>
      <c r="K34" s="226"/>
      <c r="L34" s="130">
        <f>SUM(L32)</f>
        <v>0</v>
      </c>
      <c r="M34" s="8"/>
      <c r="N34" s="8"/>
    </row>
    <row r="35" spans="1:14" x14ac:dyDescent="0.2">
      <c r="A35" s="38">
        <v>6</v>
      </c>
      <c r="B35" s="73">
        <f t="shared" si="2"/>
        <v>241.16078256828803</v>
      </c>
      <c r="C35" s="74">
        <f t="shared" si="0"/>
        <v>247.88571428571427</v>
      </c>
      <c r="D35" s="73">
        <f t="shared" si="3"/>
        <v>82.471577142857129</v>
      </c>
      <c r="E35" s="38">
        <v>6</v>
      </c>
      <c r="F35" s="73">
        <f t="shared" si="4"/>
        <v>313.50910041039197</v>
      </c>
      <c r="G35" s="73">
        <f t="shared" si="1"/>
        <v>104.30447770653738</v>
      </c>
      <c r="I35" s="35"/>
      <c r="J35" s="19"/>
      <c r="K35" s="8"/>
      <c r="L35" s="115"/>
      <c r="M35" s="8"/>
      <c r="N35" s="136"/>
    </row>
    <row r="36" spans="1:14" x14ac:dyDescent="0.2">
      <c r="A36" s="38">
        <v>5</v>
      </c>
      <c r="B36" s="73">
        <f t="shared" si="2"/>
        <v>200.96731880690666</v>
      </c>
      <c r="C36" s="74">
        <f t="shared" si="0"/>
        <v>206.57142857142861</v>
      </c>
      <c r="D36" s="73">
        <f t="shared" si="3"/>
        <v>68.726314285714281</v>
      </c>
      <c r="E36" s="38">
        <v>5</v>
      </c>
      <c r="F36" s="73">
        <f t="shared" si="4"/>
        <v>261.25758367532666</v>
      </c>
      <c r="G36" s="73">
        <f t="shared" si="1"/>
        <v>86.92039808878117</v>
      </c>
      <c r="I36" s="227" t="s">
        <v>67</v>
      </c>
      <c r="J36" s="227"/>
      <c r="K36" s="227"/>
      <c r="L36" s="227"/>
      <c r="M36" s="228" t="s">
        <v>101</v>
      </c>
      <c r="N36" s="136"/>
    </row>
    <row r="37" spans="1:14" x14ac:dyDescent="0.2">
      <c r="A37" s="38">
        <v>4</v>
      </c>
      <c r="B37" s="73">
        <f t="shared" si="2"/>
        <v>160.77385504552535</v>
      </c>
      <c r="C37" s="74">
        <f t="shared" si="0"/>
        <v>165.25714285714287</v>
      </c>
      <c r="D37" s="73">
        <f t="shared" si="3"/>
        <v>54.981051428571419</v>
      </c>
      <c r="E37" s="38">
        <v>4</v>
      </c>
      <c r="F37" s="73">
        <f t="shared" si="4"/>
        <v>209.00606694026132</v>
      </c>
      <c r="G37" s="73">
        <f t="shared" si="1"/>
        <v>69.536318471024927</v>
      </c>
      <c r="I37" s="227"/>
      <c r="J37" s="227"/>
      <c r="K37" s="227"/>
      <c r="L37" s="227"/>
      <c r="M37" s="228"/>
      <c r="N37" s="136"/>
    </row>
    <row r="38" spans="1:14" x14ac:dyDescent="0.2">
      <c r="A38" s="38">
        <v>3</v>
      </c>
      <c r="B38" s="73">
        <f t="shared" si="2"/>
        <v>120.58039128414401</v>
      </c>
      <c r="C38" s="74">
        <f t="shared" si="0"/>
        <v>123.94285714285714</v>
      </c>
      <c r="D38" s="73">
        <f t="shared" si="3"/>
        <v>41.235788571428564</v>
      </c>
      <c r="E38" s="38">
        <v>3</v>
      </c>
      <c r="F38" s="73">
        <f t="shared" si="4"/>
        <v>156.75455020519598</v>
      </c>
      <c r="G38" s="73">
        <f t="shared" si="1"/>
        <v>52.152238853268692</v>
      </c>
      <c r="I38" s="5"/>
    </row>
    <row r="39" spans="1:14" x14ac:dyDescent="0.2">
      <c r="A39" s="38">
        <v>2</v>
      </c>
      <c r="B39" s="73">
        <f t="shared" si="2"/>
        <v>80.386927522762676</v>
      </c>
      <c r="C39" s="74">
        <f t="shared" si="0"/>
        <v>82.628571428571433</v>
      </c>
      <c r="D39" s="73">
        <f t="shared" si="3"/>
        <v>27.49052571428571</v>
      </c>
      <c r="E39" s="38">
        <v>2</v>
      </c>
      <c r="F39" s="73">
        <f t="shared" si="4"/>
        <v>104.50303347013066</v>
      </c>
      <c r="G39" s="73">
        <f t="shared" si="1"/>
        <v>34.768159235512464</v>
      </c>
      <c r="I39" s="5"/>
    </row>
    <row r="40" spans="1:14" x14ac:dyDescent="0.2">
      <c r="A40" s="39">
        <v>1</v>
      </c>
      <c r="B40" s="75">
        <f t="shared" si="2"/>
        <v>40.193463761381338</v>
      </c>
      <c r="C40" s="76">
        <f t="shared" si="0"/>
        <v>41.314285714285717</v>
      </c>
      <c r="D40" s="75">
        <f t="shared" si="3"/>
        <v>13.745262857142855</v>
      </c>
      <c r="E40" s="39">
        <v>1</v>
      </c>
      <c r="F40" s="75">
        <f t="shared" si="4"/>
        <v>52.25151673506533</v>
      </c>
      <c r="G40" s="75">
        <f t="shared" si="1"/>
        <v>17.384079617756232</v>
      </c>
      <c r="I40" s="5"/>
    </row>
    <row r="41" spans="1:14" hidden="1" x14ac:dyDescent="0.2"/>
    <row r="42" spans="1:14" ht="15" hidden="1" thickBot="1" x14ac:dyDescent="0.25">
      <c r="C42" s="211" t="s">
        <v>93</v>
      </c>
    </row>
    <row r="43" spans="1:14" s="21" customFormat="1" ht="41.25" hidden="1" customHeight="1" thickBot="1" x14ac:dyDescent="0.25">
      <c r="A43" s="190"/>
      <c r="B43" s="206" t="s">
        <v>16</v>
      </c>
      <c r="C43" s="207">
        <v>9.64</v>
      </c>
      <c r="D43" s="191"/>
      <c r="E43" s="192"/>
      <c r="F43" s="191"/>
      <c r="G43" s="191"/>
      <c r="I43" s="193"/>
    </row>
  </sheetData>
  <sheetProtection algorithmName="SHA-512" hashValue="0QyuNrrQ7AgBgxhFkBlSsg/3h3E9XLJHvWf6eeG8I+DNDJ8q99FHmaGjNqz4DXFj+5t8jvRtxMF8AVeQPvtu2g==" saltValue="enulhi6KXEk+DZ1Eqr0zsg==" spinCount="100000" sheet="1" objects="1" scenarios="1"/>
  <protectedRanges>
    <protectedRange sqref="M36" name="CALCULO RC"/>
    <protectedRange sqref="L8" name="RET TC_1"/>
    <protectedRange sqref="L23" name="DED_1"/>
    <protectedRange sqref="L26" name="RET TP_2"/>
  </protectedRanges>
  <mergeCells count="36">
    <mergeCell ref="I34:K34"/>
    <mergeCell ref="I36:L37"/>
    <mergeCell ref="M36:M37"/>
    <mergeCell ref="I20:M21"/>
    <mergeCell ref="I29:L30"/>
    <mergeCell ref="I32:I33"/>
    <mergeCell ref="J32:J33"/>
    <mergeCell ref="K32:K33"/>
    <mergeCell ref="L32:L33"/>
    <mergeCell ref="I23:K24"/>
    <mergeCell ref="L23:L24"/>
    <mergeCell ref="I26:K27"/>
    <mergeCell ref="L26:L27"/>
    <mergeCell ref="I16:I17"/>
    <mergeCell ref="J16:J17"/>
    <mergeCell ref="K16:K17"/>
    <mergeCell ref="L16:L17"/>
    <mergeCell ref="I18:J18"/>
    <mergeCell ref="I8:K9"/>
    <mergeCell ref="L8:L9"/>
    <mergeCell ref="I11:L12"/>
    <mergeCell ref="I14:I15"/>
    <mergeCell ref="J14:J15"/>
    <mergeCell ref="K14:K15"/>
    <mergeCell ref="L14:L15"/>
    <mergeCell ref="I4:I5"/>
    <mergeCell ref="J4:J5"/>
    <mergeCell ref="K4:K5"/>
    <mergeCell ref="L4:L5"/>
    <mergeCell ref="M4:M5"/>
    <mergeCell ref="A1:G1"/>
    <mergeCell ref="B2:D2"/>
    <mergeCell ref="F2:G2"/>
    <mergeCell ref="I2:K2"/>
    <mergeCell ref="L2:M2"/>
    <mergeCell ref="I1:M1"/>
  </mergeCells>
  <phoneticPr fontId="0" type="noConversion"/>
  <hyperlinks>
    <hyperlink ref="M36:M37" r:id="rId1" display="CALCULO RC" xr:uid="{00000000-0004-0000-0500-000000000000}"/>
  </hyperlinks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Q44"/>
  <sheetViews>
    <sheetView topLeftCell="D4" zoomScale="112" zoomScaleNormal="112" workbookViewId="0">
      <selection activeCell="M15" sqref="M15"/>
    </sheetView>
  </sheetViews>
  <sheetFormatPr baseColWidth="10" defaultRowHeight="12.75" x14ac:dyDescent="0.2"/>
  <cols>
    <col min="1" max="1" width="25.28515625" style="1" bestFit="1" customWidth="1"/>
    <col min="2" max="2" width="33.42578125" style="83" customWidth="1"/>
    <col min="3" max="3" width="12.85546875" style="84" hidden="1" customWidth="1"/>
    <col min="4" max="4" width="31.28515625" style="83" customWidth="1"/>
    <col min="5" max="5" width="11.42578125" style="2" customWidth="1"/>
    <col min="6" max="6" width="21.28515625" style="2" customWidth="1"/>
    <col min="7" max="7" width="26" style="2" customWidth="1"/>
    <col min="8" max="8" width="22.5703125" style="2" customWidth="1"/>
    <col min="9" max="9" width="16.28515625" style="2" bestFit="1" customWidth="1"/>
    <col min="10" max="10" width="15.28515625" style="2" bestFit="1" customWidth="1"/>
    <col min="11" max="173" width="11.42578125" style="2"/>
  </cols>
  <sheetData>
    <row r="1" spans="1:173" s="8" customFormat="1" ht="42.6" customHeight="1" x14ac:dyDescent="0.2">
      <c r="A1" s="264" t="s">
        <v>112</v>
      </c>
      <c r="B1" s="264"/>
      <c r="C1" s="264"/>
      <c r="D1" s="264"/>
      <c r="E1" s="17"/>
      <c r="F1" s="260" t="s">
        <v>115</v>
      </c>
      <c r="G1" s="261"/>
      <c r="H1" s="261"/>
      <c r="I1" s="261"/>
      <c r="J1" s="262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</row>
    <row r="2" spans="1:173" s="27" customFormat="1" ht="25.5" customHeight="1" x14ac:dyDescent="0.2">
      <c r="A2" s="77" t="s">
        <v>45</v>
      </c>
      <c r="B2" s="81" t="s">
        <v>46</v>
      </c>
      <c r="C2" s="82" t="s">
        <v>90</v>
      </c>
      <c r="D2" s="85" t="s">
        <v>108</v>
      </c>
      <c r="E2" s="80"/>
      <c r="F2" s="312" t="s">
        <v>50</v>
      </c>
      <c r="G2" s="313"/>
      <c r="H2" s="314"/>
      <c r="I2" s="312" t="s">
        <v>54</v>
      </c>
      <c r="J2" s="314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</row>
    <row r="3" spans="1:173" s="78" customFormat="1" ht="22.9" customHeight="1" x14ac:dyDescent="0.2">
      <c r="A3" s="37">
        <v>37.5</v>
      </c>
      <c r="B3" s="71">
        <f>PARAMETROS!B8</f>
        <v>2476.6299999999997</v>
      </c>
      <c r="C3" s="72"/>
      <c r="D3" s="71">
        <v>749.9</v>
      </c>
      <c r="E3" s="34"/>
      <c r="F3" s="124" t="s">
        <v>49</v>
      </c>
      <c r="G3" s="124" t="s">
        <v>60</v>
      </c>
      <c r="H3" s="124" t="s">
        <v>61</v>
      </c>
      <c r="I3" s="125" t="s">
        <v>52</v>
      </c>
      <c r="J3" s="124" t="s">
        <v>53</v>
      </c>
      <c r="K3" s="27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</row>
    <row r="4" spans="1:173" s="79" customFormat="1" ht="15" customHeight="1" x14ac:dyDescent="0.2">
      <c r="A4" s="38">
        <v>36</v>
      </c>
      <c r="B4" s="73">
        <f>PRODUCT(PARAMETROS!B$8,A4)/A$3</f>
        <v>2377.5647999999997</v>
      </c>
      <c r="C4" s="74">
        <f t="shared" ref="C4:C39" si="0">(A4/$A$3*7.5*5)/7*30*$C$43</f>
        <v>1283.6571428571431</v>
      </c>
      <c r="D4" s="73">
        <f>IF(B4&lt;C4,C4*$H$18%,B4*$H$18%)</f>
        <v>791.01580895999973</v>
      </c>
      <c r="E4" s="34"/>
      <c r="F4" s="315">
        <v>5</v>
      </c>
      <c r="G4" s="268">
        <v>1381.2</v>
      </c>
      <c r="H4" s="310">
        <v>4909.5</v>
      </c>
      <c r="I4" s="272">
        <v>1381.2</v>
      </c>
      <c r="J4" s="317">
        <v>4909.5</v>
      </c>
      <c r="K4" s="8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</row>
    <row r="5" spans="1:173" s="79" customFormat="1" ht="15" customHeight="1" x14ac:dyDescent="0.2">
      <c r="A5" s="38">
        <v>35</v>
      </c>
      <c r="B5" s="73">
        <f>PRODUCT(PARAMETROS!B$8,A5)/A$3</f>
        <v>2311.5213333333331</v>
      </c>
      <c r="C5" s="74">
        <f t="shared" si="0"/>
        <v>1248</v>
      </c>
      <c r="D5" s="73">
        <f t="shared" ref="D5:D39" si="1">IF(B5&lt;C5,C5*$H$18%,B5*$H$18%)</f>
        <v>769.04314759999977</v>
      </c>
      <c r="E5" s="34"/>
      <c r="F5" s="316"/>
      <c r="G5" s="269"/>
      <c r="H5" s="310"/>
      <c r="I5" s="273"/>
      <c r="J5" s="317"/>
      <c r="K5" s="8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</row>
    <row r="6" spans="1:173" s="79" customFormat="1" ht="15" customHeight="1" x14ac:dyDescent="0.2">
      <c r="A6" s="38">
        <v>34</v>
      </c>
      <c r="B6" s="73">
        <f>PRODUCT(PARAMETROS!B$8,A6)/A$3</f>
        <v>2245.4778666666662</v>
      </c>
      <c r="C6" s="74">
        <f t="shared" si="0"/>
        <v>1212.3428571428569</v>
      </c>
      <c r="D6" s="73">
        <f t="shared" si="1"/>
        <v>747.0704862399997</v>
      </c>
      <c r="E6" s="34"/>
      <c r="F6" s="35"/>
      <c r="G6" s="8"/>
      <c r="H6" s="8"/>
      <c r="I6" s="115"/>
      <c r="J6" s="8"/>
      <c r="K6" s="8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</row>
    <row r="7" spans="1:173" s="79" customFormat="1" ht="15" customHeight="1" thickBot="1" x14ac:dyDescent="0.25">
      <c r="A7" s="38">
        <v>33</v>
      </c>
      <c r="B7" s="73">
        <f>PRODUCT(PARAMETROS!B$8,A7)/A$3</f>
        <v>2179.4343999999996</v>
      </c>
      <c r="C7" s="74">
        <f t="shared" si="0"/>
        <v>1176.6857142857145</v>
      </c>
      <c r="D7" s="73">
        <f t="shared" si="1"/>
        <v>725.09782487999973</v>
      </c>
      <c r="E7" s="34"/>
      <c r="F7" s="35"/>
      <c r="G7" s="19"/>
      <c r="H7" s="8"/>
      <c r="I7" s="115"/>
      <c r="J7" s="8"/>
      <c r="K7" s="8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</row>
    <row r="8" spans="1:173" s="79" customFormat="1" ht="15" customHeight="1" x14ac:dyDescent="0.2">
      <c r="A8" s="38">
        <v>32</v>
      </c>
      <c r="B8" s="73">
        <f>PRODUCT(PARAMETROS!B$8,A8)/A$3</f>
        <v>2113.3909333333331</v>
      </c>
      <c r="C8" s="74">
        <f t="shared" si="0"/>
        <v>1141.0285714285715</v>
      </c>
      <c r="D8" s="73">
        <f t="shared" si="1"/>
        <v>703.12516351999977</v>
      </c>
      <c r="E8" s="34"/>
      <c r="F8" s="237" t="s">
        <v>87</v>
      </c>
      <c r="G8" s="237"/>
      <c r="H8" s="238"/>
      <c r="I8" s="241">
        <v>0</v>
      </c>
      <c r="J8" s="8"/>
      <c r="K8" s="8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</row>
    <row r="9" spans="1:173" s="79" customFormat="1" ht="15" customHeight="1" thickBot="1" x14ac:dyDescent="0.25">
      <c r="A9" s="38">
        <v>31</v>
      </c>
      <c r="B9" s="73">
        <f>PRODUCT(PARAMETROS!B$8,A9)/A$3</f>
        <v>2047.3474666666662</v>
      </c>
      <c r="C9" s="74">
        <f t="shared" si="0"/>
        <v>1105.3714285714286</v>
      </c>
      <c r="D9" s="73">
        <f t="shared" si="1"/>
        <v>681.1525021599997</v>
      </c>
      <c r="E9" s="34"/>
      <c r="F9" s="237"/>
      <c r="G9" s="237"/>
      <c r="H9" s="238"/>
      <c r="I9" s="242"/>
      <c r="J9" s="8"/>
      <c r="K9" s="8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</row>
    <row r="10" spans="1:173" s="79" customFormat="1" ht="15" customHeight="1" thickBot="1" x14ac:dyDescent="0.25">
      <c r="A10" s="38">
        <v>30</v>
      </c>
      <c r="B10" s="73">
        <f>PRODUCT(PARAMETROS!B$8,A10)/A$3</f>
        <v>1981.3039999999999</v>
      </c>
      <c r="C10" s="74">
        <f t="shared" si="0"/>
        <v>1069.7142857142856</v>
      </c>
      <c r="D10" s="73">
        <f t="shared" si="1"/>
        <v>659.17984079999985</v>
      </c>
      <c r="E10" s="34"/>
      <c r="F10" s="120"/>
      <c r="G10" s="121"/>
      <c r="H10" s="122"/>
      <c r="I10" s="123"/>
      <c r="J10" s="8"/>
      <c r="K10" s="8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</row>
    <row r="11" spans="1:173" s="79" customFormat="1" ht="15" customHeight="1" x14ac:dyDescent="0.2">
      <c r="A11" s="38">
        <v>29</v>
      </c>
      <c r="B11" s="73">
        <f>PRODUCT(PARAMETROS!B$8,A11)/A$3</f>
        <v>1915.2605333333331</v>
      </c>
      <c r="C11" s="74">
        <f t="shared" si="0"/>
        <v>1034.0571428571429</v>
      </c>
      <c r="D11" s="73">
        <f t="shared" si="1"/>
        <v>637.20717943999978</v>
      </c>
      <c r="E11" s="34"/>
      <c r="F11" s="243" t="s">
        <v>62</v>
      </c>
      <c r="G11" s="244"/>
      <c r="H11" s="244"/>
      <c r="I11" s="245"/>
      <c r="J11" s="8"/>
      <c r="K11" s="8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</row>
    <row r="12" spans="1:173" s="79" customFormat="1" ht="15" customHeight="1" thickBot="1" x14ac:dyDescent="0.25">
      <c r="A12" s="38">
        <v>28</v>
      </c>
      <c r="B12" s="73">
        <f>PRODUCT(PARAMETROS!B$8,A12)/A$3</f>
        <v>1849.2170666666664</v>
      </c>
      <c r="C12" s="74">
        <f t="shared" si="0"/>
        <v>998.40000000000032</v>
      </c>
      <c r="D12" s="73">
        <f t="shared" si="1"/>
        <v>615.23451807999982</v>
      </c>
      <c r="E12" s="34"/>
      <c r="F12" s="246"/>
      <c r="G12" s="247"/>
      <c r="H12" s="247"/>
      <c r="I12" s="248"/>
      <c r="J12" s="8"/>
      <c r="K12" s="8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</row>
    <row r="13" spans="1:173" s="79" customFormat="1" ht="15" customHeight="1" thickBot="1" x14ac:dyDescent="0.25">
      <c r="A13" s="38">
        <v>27</v>
      </c>
      <c r="B13" s="73">
        <f>PRODUCT(PARAMETROS!B$8,A13)/A$3</f>
        <v>1783.1735999999999</v>
      </c>
      <c r="C13" s="74">
        <f t="shared" si="0"/>
        <v>962.74285714285713</v>
      </c>
      <c r="D13" s="73">
        <f t="shared" si="1"/>
        <v>593.26185671999986</v>
      </c>
      <c r="E13" s="34"/>
      <c r="F13" s="117"/>
      <c r="G13" s="135" t="s">
        <v>55</v>
      </c>
      <c r="H13" s="133" t="s">
        <v>56</v>
      </c>
      <c r="I13" s="142" t="s">
        <v>57</v>
      </c>
      <c r="J13" s="8"/>
      <c r="K13" s="8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</row>
    <row r="14" spans="1:173" s="79" customFormat="1" ht="15" customHeight="1" x14ac:dyDescent="0.2">
      <c r="A14" s="38">
        <v>26</v>
      </c>
      <c r="B14" s="73">
        <f>PRODUCT(PARAMETROS!B$8,A14)/A$3</f>
        <v>1717.1301333333331</v>
      </c>
      <c r="C14" s="74">
        <f t="shared" si="0"/>
        <v>927.08571428571429</v>
      </c>
      <c r="D14" s="73">
        <f t="shared" si="1"/>
        <v>571.28919535999978</v>
      </c>
      <c r="E14" s="34"/>
      <c r="F14" s="256" t="s">
        <v>58</v>
      </c>
      <c r="G14" s="251">
        <f>IF(I8&gt;=G4,I8,G4)</f>
        <v>1381.2</v>
      </c>
      <c r="H14" s="233">
        <v>24.27</v>
      </c>
      <c r="I14" s="235">
        <f>G14*H14%</f>
        <v>335.21724</v>
      </c>
      <c r="J14" s="8"/>
      <c r="K14" s="8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</row>
    <row r="15" spans="1:173" s="79" customFormat="1" ht="15" customHeight="1" thickBot="1" x14ac:dyDescent="0.25">
      <c r="A15" s="38">
        <v>25</v>
      </c>
      <c r="B15" s="73">
        <f>PRODUCT(PARAMETROS!B$8,A15)/A$3</f>
        <v>1651.0866666666664</v>
      </c>
      <c r="C15" s="74">
        <f t="shared" si="0"/>
        <v>891.42857142857156</v>
      </c>
      <c r="D15" s="73">
        <f t="shared" si="1"/>
        <v>549.31653399999982</v>
      </c>
      <c r="E15" s="34"/>
      <c r="F15" s="257"/>
      <c r="G15" s="252"/>
      <c r="H15" s="234"/>
      <c r="I15" s="236"/>
      <c r="J15" s="8"/>
      <c r="K15" s="8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</row>
    <row r="16" spans="1:173" s="79" customFormat="1" ht="15" customHeight="1" x14ac:dyDescent="0.2">
      <c r="A16" s="38">
        <v>24</v>
      </c>
      <c r="B16" s="73">
        <f>PRODUCT(PARAMETROS!B$8,A16)/A$3</f>
        <v>1585.0431999999998</v>
      </c>
      <c r="C16" s="74">
        <f t="shared" si="0"/>
        <v>855.77142857142849</v>
      </c>
      <c r="D16" s="73">
        <f t="shared" si="1"/>
        <v>527.34387263999986</v>
      </c>
      <c r="E16" s="34"/>
      <c r="F16" s="256" t="s">
        <v>59</v>
      </c>
      <c r="G16" s="251">
        <f>IF(I8&gt;=I4,I8,I4)</f>
        <v>1381.2</v>
      </c>
      <c r="H16" s="233">
        <v>9</v>
      </c>
      <c r="I16" s="235">
        <f>G16*H16%</f>
        <v>124.30799999999999</v>
      </c>
      <c r="J16" s="8"/>
      <c r="K16" s="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</row>
    <row r="17" spans="1:173" s="79" customFormat="1" ht="15" customHeight="1" thickBot="1" x14ac:dyDescent="0.25">
      <c r="A17" s="38">
        <v>23</v>
      </c>
      <c r="B17" s="73">
        <f>PRODUCT(PARAMETROS!B$8,A17)/A$3</f>
        <v>1518.9997333333331</v>
      </c>
      <c r="C17" s="74">
        <f t="shared" si="0"/>
        <v>820.11428571428576</v>
      </c>
      <c r="D17" s="73">
        <f t="shared" si="1"/>
        <v>505.37121127999984</v>
      </c>
      <c r="E17" s="34"/>
      <c r="F17" s="257"/>
      <c r="G17" s="252"/>
      <c r="H17" s="234"/>
      <c r="I17" s="236"/>
      <c r="J17" s="8"/>
      <c r="K17" s="8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</row>
    <row r="18" spans="1:173" s="79" customFormat="1" ht="15" customHeight="1" thickBot="1" x14ac:dyDescent="0.25">
      <c r="A18" s="38">
        <v>22</v>
      </c>
      <c r="B18" s="73">
        <f>PRODUCT(PARAMETROS!B$8,A18)/A$3</f>
        <v>1452.9562666666666</v>
      </c>
      <c r="C18" s="74">
        <f t="shared" si="0"/>
        <v>784.4571428571428</v>
      </c>
      <c r="D18" s="73">
        <f t="shared" si="1"/>
        <v>483.39854991999988</v>
      </c>
      <c r="E18" s="34"/>
      <c r="F18" s="274" t="s">
        <v>63</v>
      </c>
      <c r="G18" s="275"/>
      <c r="H18" s="134">
        <f>(H14+H16)</f>
        <v>33.269999999999996</v>
      </c>
      <c r="I18" s="130">
        <f>SUM(I14:I17)</f>
        <v>459.52524</v>
      </c>
      <c r="J18" s="8"/>
      <c r="K18" s="8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</row>
    <row r="19" spans="1:173" s="79" customFormat="1" ht="15" customHeight="1" x14ac:dyDescent="0.2">
      <c r="A19" s="38">
        <v>21</v>
      </c>
      <c r="B19" s="73">
        <f>PRODUCT(PARAMETROS!B$8,A19)/A$3</f>
        <v>1386.9127999999998</v>
      </c>
      <c r="C19" s="74">
        <f t="shared" si="0"/>
        <v>748.80000000000007</v>
      </c>
      <c r="D19" s="73">
        <f t="shared" si="1"/>
        <v>461.42588855999986</v>
      </c>
      <c r="E19" s="34"/>
      <c r="F19" s="126"/>
      <c r="G19" s="127"/>
      <c r="H19" s="128"/>
      <c r="I19" s="129"/>
      <c r="J19" s="8"/>
      <c r="K19" s="8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</row>
    <row r="20" spans="1:173" s="79" customFormat="1" ht="15" customHeight="1" x14ac:dyDescent="0.2">
      <c r="A20" s="38">
        <v>20</v>
      </c>
      <c r="B20" s="73">
        <f>PRODUCT(PARAMETROS!B$8,A20)/A$3</f>
        <v>1320.8693333333331</v>
      </c>
      <c r="C20" s="74">
        <f t="shared" si="0"/>
        <v>713.14285714285722</v>
      </c>
      <c r="D20" s="73">
        <f t="shared" si="1"/>
        <v>439.45322719999984</v>
      </c>
      <c r="E20" s="34"/>
      <c r="F20" s="263" t="s">
        <v>76</v>
      </c>
      <c r="G20" s="263"/>
      <c r="H20" s="263"/>
      <c r="I20" s="263"/>
      <c r="J20" s="263"/>
      <c r="K20" s="147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</row>
    <row r="21" spans="1:173" s="79" customFormat="1" ht="15" customHeight="1" x14ac:dyDescent="0.2">
      <c r="A21" s="38">
        <v>19</v>
      </c>
      <c r="B21" s="73">
        <f>PRODUCT(PARAMETROS!B$8,A21)/A$3</f>
        <v>1254.8258666666666</v>
      </c>
      <c r="C21" s="74">
        <f t="shared" si="0"/>
        <v>677.48571428571438</v>
      </c>
      <c r="D21" s="73">
        <f t="shared" si="1"/>
        <v>417.48056583999988</v>
      </c>
      <c r="E21" s="34"/>
      <c r="F21" s="263"/>
      <c r="G21" s="263"/>
      <c r="H21" s="263"/>
      <c r="I21" s="263"/>
      <c r="J21" s="263"/>
      <c r="K21" s="14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</row>
    <row r="22" spans="1:173" s="79" customFormat="1" ht="15" customHeight="1" thickBot="1" x14ac:dyDescent="0.25">
      <c r="A22" s="38">
        <v>18</v>
      </c>
      <c r="B22" s="73">
        <f>PRODUCT(PARAMETROS!B$8,A22)/A$3</f>
        <v>1188.7823999999998</v>
      </c>
      <c r="C22" s="74">
        <f t="shared" si="0"/>
        <v>641.82857142857154</v>
      </c>
      <c r="D22" s="73">
        <f t="shared" si="1"/>
        <v>395.50790447999987</v>
      </c>
      <c r="E22" s="34"/>
      <c r="F22" s="35"/>
      <c r="G22" s="19"/>
      <c r="H22" s="8"/>
      <c r="I22" s="115"/>
      <c r="J22" s="8"/>
      <c r="K22" s="8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</row>
    <row r="23" spans="1:173" s="79" customFormat="1" ht="15" customHeight="1" x14ac:dyDescent="0.2">
      <c r="A23" s="38">
        <v>17</v>
      </c>
      <c r="B23" s="73">
        <f>PRODUCT(PARAMETROS!B$8,A23)/A$3</f>
        <v>1122.7389333333331</v>
      </c>
      <c r="C23" s="74">
        <f t="shared" si="0"/>
        <v>606.17142857142846</v>
      </c>
      <c r="D23" s="73">
        <f t="shared" si="1"/>
        <v>373.53524311999985</v>
      </c>
      <c r="E23" s="34"/>
      <c r="F23" s="237" t="s">
        <v>64</v>
      </c>
      <c r="G23" s="237"/>
      <c r="H23" s="238"/>
      <c r="I23" s="239">
        <v>0</v>
      </c>
      <c r="J23" s="8"/>
      <c r="K23" s="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</row>
    <row r="24" spans="1:173" s="79" customFormat="1" ht="15" customHeight="1" thickBot="1" x14ac:dyDescent="0.25">
      <c r="A24" s="38">
        <v>16</v>
      </c>
      <c r="B24" s="73">
        <f>PRODUCT(PARAMETROS!B$8,A24)/A$3</f>
        <v>1056.6954666666666</v>
      </c>
      <c r="C24" s="74">
        <f t="shared" si="0"/>
        <v>570.51428571428573</v>
      </c>
      <c r="D24" s="73">
        <f t="shared" si="1"/>
        <v>351.56258175999989</v>
      </c>
      <c r="E24" s="34"/>
      <c r="F24" s="237"/>
      <c r="G24" s="237"/>
      <c r="H24" s="238"/>
      <c r="I24" s="240"/>
      <c r="J24" s="8"/>
      <c r="K24" s="8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</row>
    <row r="25" spans="1:173" s="79" customFormat="1" ht="15" customHeight="1" thickBot="1" x14ac:dyDescent="0.25">
      <c r="A25" s="38">
        <v>15</v>
      </c>
      <c r="B25" s="73">
        <f>PRODUCT(PARAMETROS!B$8,A25)/A$3</f>
        <v>990.65199999999993</v>
      </c>
      <c r="C25" s="74">
        <f t="shared" si="0"/>
        <v>534.85714285714278</v>
      </c>
      <c r="D25" s="73">
        <f t="shared" si="1"/>
        <v>329.58992039999993</v>
      </c>
      <c r="E25" s="34"/>
      <c r="F25" s="35"/>
      <c r="G25" s="19"/>
      <c r="H25" s="8"/>
      <c r="I25" s="115"/>
      <c r="J25" s="8"/>
      <c r="K25" s="8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</row>
    <row r="26" spans="1:173" s="79" customFormat="1" ht="15" customHeight="1" x14ac:dyDescent="0.2">
      <c r="A26" s="38">
        <v>14</v>
      </c>
      <c r="B26" s="73">
        <f>PRODUCT(PARAMETROS!B$8,A26)/A$3</f>
        <v>924.60853333333318</v>
      </c>
      <c r="C26" s="74">
        <f t="shared" si="0"/>
        <v>499.20000000000016</v>
      </c>
      <c r="D26" s="73">
        <f t="shared" si="1"/>
        <v>307.61725903999991</v>
      </c>
      <c r="E26" s="34"/>
      <c r="F26" s="237" t="s">
        <v>68</v>
      </c>
      <c r="G26" s="237"/>
      <c r="H26" s="238"/>
      <c r="I26" s="241">
        <v>0</v>
      </c>
      <c r="J26" s="8"/>
      <c r="K26" s="8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</row>
    <row r="27" spans="1:173" s="79" customFormat="1" ht="15" customHeight="1" thickBot="1" x14ac:dyDescent="0.25">
      <c r="A27" s="38">
        <v>13</v>
      </c>
      <c r="B27" s="73">
        <f>PRODUCT(PARAMETROS!B$8,A27)/A$3</f>
        <v>858.56506666666655</v>
      </c>
      <c r="C27" s="74">
        <f t="shared" si="0"/>
        <v>463.54285714285714</v>
      </c>
      <c r="D27" s="73">
        <f t="shared" si="1"/>
        <v>285.64459767999989</v>
      </c>
      <c r="E27" s="34"/>
      <c r="F27" s="237"/>
      <c r="G27" s="237"/>
      <c r="H27" s="238"/>
      <c r="I27" s="242"/>
      <c r="J27" s="8"/>
      <c r="K27" s="8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</row>
    <row r="28" spans="1:173" s="79" customFormat="1" ht="15" customHeight="1" thickBot="1" x14ac:dyDescent="0.25">
      <c r="A28" s="38">
        <v>12</v>
      </c>
      <c r="B28" s="73">
        <f>PRODUCT(PARAMETROS!B$8,A28)/A$3</f>
        <v>792.52159999999992</v>
      </c>
      <c r="C28" s="74">
        <f t="shared" si="0"/>
        <v>427.88571428571424</v>
      </c>
      <c r="D28" s="73">
        <f t="shared" si="1"/>
        <v>263.67193631999993</v>
      </c>
      <c r="E28" s="34"/>
      <c r="F28" s="35"/>
      <c r="G28" s="19"/>
      <c r="H28" s="8"/>
      <c r="I28" s="115"/>
      <c r="J28" s="8"/>
      <c r="K28" s="8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</row>
    <row r="29" spans="1:173" s="79" customFormat="1" ht="15" customHeight="1" x14ac:dyDescent="0.2">
      <c r="A29" s="38">
        <v>11</v>
      </c>
      <c r="B29" s="73">
        <f>PRODUCT(PARAMETROS!B$8,A29)/A$3</f>
        <v>726.47813333333329</v>
      </c>
      <c r="C29" s="74">
        <f t="shared" si="0"/>
        <v>392.2285714285714</v>
      </c>
      <c r="D29" s="73">
        <f t="shared" si="1"/>
        <v>241.69927495999994</v>
      </c>
      <c r="E29" s="34"/>
      <c r="F29" s="243" t="s">
        <v>65</v>
      </c>
      <c r="G29" s="244"/>
      <c r="H29" s="244"/>
      <c r="I29" s="245"/>
      <c r="J29" s="8"/>
      <c r="K29" s="8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</row>
    <row r="30" spans="1:173" s="79" customFormat="1" ht="15" customHeight="1" thickBot="1" x14ac:dyDescent="0.25">
      <c r="A30" s="38">
        <v>10</v>
      </c>
      <c r="B30" s="73">
        <f>PRODUCT(PARAMETROS!B$8,A30)/A$3</f>
        <v>660.43466666666654</v>
      </c>
      <c r="C30" s="74">
        <f t="shared" si="0"/>
        <v>356.57142857142861</v>
      </c>
      <c r="D30" s="73">
        <f t="shared" si="1"/>
        <v>219.72661359999992</v>
      </c>
      <c r="E30" s="34"/>
      <c r="F30" s="246"/>
      <c r="G30" s="247"/>
      <c r="H30" s="247"/>
      <c r="I30" s="248"/>
      <c r="J30" s="8"/>
      <c r="K30" s="8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</row>
    <row r="31" spans="1:173" s="79" customFormat="1" ht="15" customHeight="1" thickBot="1" x14ac:dyDescent="0.25">
      <c r="A31" s="38">
        <v>9</v>
      </c>
      <c r="B31" s="73">
        <f>PRODUCT(PARAMETROS!B$8,A31)/A$3</f>
        <v>594.39119999999991</v>
      </c>
      <c r="C31" s="74">
        <f t="shared" si="0"/>
        <v>320.91428571428577</v>
      </c>
      <c r="D31" s="73">
        <f t="shared" si="1"/>
        <v>197.75395223999993</v>
      </c>
      <c r="E31" s="34"/>
      <c r="F31" s="137" t="s">
        <v>69</v>
      </c>
      <c r="G31" s="135" t="s">
        <v>55</v>
      </c>
      <c r="H31" s="133" t="s">
        <v>70</v>
      </c>
      <c r="I31" s="119" t="s">
        <v>57</v>
      </c>
      <c r="J31" s="8"/>
      <c r="K31" s="8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</row>
    <row r="32" spans="1:173" s="79" customFormat="1" ht="15" customHeight="1" x14ac:dyDescent="0.2">
      <c r="A32" s="38">
        <v>8</v>
      </c>
      <c r="B32" s="73">
        <f>PRODUCT(PARAMETROS!B$8,A32)/A$3</f>
        <v>528.34773333333328</v>
      </c>
      <c r="C32" s="74">
        <f t="shared" si="0"/>
        <v>285.25714285714287</v>
      </c>
      <c r="D32" s="73">
        <f t="shared" si="1"/>
        <v>175.78129087999994</v>
      </c>
      <c r="E32" s="34"/>
      <c r="F32" s="318">
        <f>((I23/37.5*7.5*5)/7)*30*$C$43</f>
        <v>0</v>
      </c>
      <c r="G32" s="231">
        <f>IF(I26&lt;F32,F32,I26)</f>
        <v>0</v>
      </c>
      <c r="H32" s="233">
        <v>33.270000000000003</v>
      </c>
      <c r="I32" s="235">
        <f>G32*H32%</f>
        <v>0</v>
      </c>
      <c r="J32" s="8"/>
      <c r="K32" s="8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</row>
    <row r="33" spans="1:173" s="79" customFormat="1" ht="15" customHeight="1" thickBot="1" x14ac:dyDescent="0.25">
      <c r="A33" s="38">
        <v>7</v>
      </c>
      <c r="B33" s="73">
        <f>PRODUCT(PARAMETROS!B$8,A33)/A$3</f>
        <v>462.30426666666659</v>
      </c>
      <c r="C33" s="74">
        <f t="shared" si="0"/>
        <v>249.60000000000008</v>
      </c>
      <c r="D33" s="73">
        <f t="shared" si="1"/>
        <v>153.80862951999995</v>
      </c>
      <c r="E33" s="34"/>
      <c r="F33" s="230"/>
      <c r="G33" s="232"/>
      <c r="H33" s="234"/>
      <c r="I33" s="236"/>
      <c r="J33" s="8"/>
      <c r="K33" s="8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</row>
    <row r="34" spans="1:173" s="79" customFormat="1" ht="15" customHeight="1" thickBot="1" x14ac:dyDescent="0.25">
      <c r="A34" s="38">
        <v>6</v>
      </c>
      <c r="B34" s="73">
        <f>PRODUCT(PARAMETROS!B$8,A34)/A$3</f>
        <v>396.26079999999996</v>
      </c>
      <c r="C34" s="74">
        <f t="shared" si="0"/>
        <v>213.94285714285712</v>
      </c>
      <c r="D34" s="73">
        <f t="shared" si="1"/>
        <v>131.83596815999996</v>
      </c>
      <c r="E34" s="34"/>
      <c r="F34" s="224" t="s">
        <v>66</v>
      </c>
      <c r="G34" s="225"/>
      <c r="H34" s="226"/>
      <c r="I34" s="130">
        <f>SUM(I32)</f>
        <v>0</v>
      </c>
      <c r="J34" s="8"/>
      <c r="K34" s="8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</row>
    <row r="35" spans="1:173" s="79" customFormat="1" ht="15" customHeight="1" x14ac:dyDescent="0.2">
      <c r="A35" s="38">
        <v>5</v>
      </c>
      <c r="B35" s="73">
        <f>PRODUCT(PARAMETROS!B$8,A35)/A$3</f>
        <v>330.21733333333327</v>
      </c>
      <c r="C35" s="74">
        <f t="shared" si="0"/>
        <v>178.28571428571431</v>
      </c>
      <c r="D35" s="73">
        <f t="shared" si="1"/>
        <v>109.86330679999996</v>
      </c>
      <c r="E35" s="34"/>
      <c r="F35" s="35"/>
      <c r="G35" s="19"/>
      <c r="H35" s="8"/>
      <c r="I35" s="115"/>
      <c r="J35" s="8"/>
      <c r="K35" s="136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</row>
    <row r="36" spans="1:173" s="79" customFormat="1" ht="15" customHeight="1" x14ac:dyDescent="0.2">
      <c r="A36" s="38">
        <v>4</v>
      </c>
      <c r="B36" s="73">
        <f>PRODUCT(PARAMETROS!B$8,A36)/A$3</f>
        <v>264.17386666666664</v>
      </c>
      <c r="C36" s="74">
        <f t="shared" si="0"/>
        <v>142.62857142857143</v>
      </c>
      <c r="D36" s="73">
        <f t="shared" si="1"/>
        <v>87.890645439999972</v>
      </c>
      <c r="E36" s="34"/>
      <c r="F36" s="301" t="s">
        <v>67</v>
      </c>
      <c r="G36" s="301"/>
      <c r="H36" s="301"/>
      <c r="I36" s="228" t="s">
        <v>101</v>
      </c>
      <c r="J36" s="34"/>
      <c r="K36" s="136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</row>
    <row r="37" spans="1:173" s="79" customFormat="1" ht="15" customHeight="1" x14ac:dyDescent="0.2">
      <c r="A37" s="38">
        <v>3</v>
      </c>
      <c r="B37" s="73">
        <f>PRODUCT(PARAMETROS!B$8,A37)/A$3</f>
        <v>198.13039999999998</v>
      </c>
      <c r="C37" s="74">
        <f t="shared" si="0"/>
        <v>106.97142857142856</v>
      </c>
      <c r="D37" s="73">
        <f t="shared" si="1"/>
        <v>65.917984079999982</v>
      </c>
      <c r="E37" s="34"/>
      <c r="F37" s="301"/>
      <c r="G37" s="301"/>
      <c r="H37" s="301"/>
      <c r="I37" s="228"/>
      <c r="J37" s="34"/>
      <c r="K37" s="136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</row>
    <row r="38" spans="1:173" s="79" customFormat="1" ht="15" customHeight="1" x14ac:dyDescent="0.2">
      <c r="A38" s="38">
        <v>2</v>
      </c>
      <c r="B38" s="73">
        <f>PRODUCT(PARAMETROS!B$8,A38)/A$3</f>
        <v>132.08693333333332</v>
      </c>
      <c r="C38" s="74">
        <f t="shared" si="0"/>
        <v>71.314285714285717</v>
      </c>
      <c r="D38" s="73">
        <f t="shared" si="1"/>
        <v>43.945322719999986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</row>
    <row r="39" spans="1:173" s="79" customFormat="1" ht="15" customHeight="1" x14ac:dyDescent="0.2">
      <c r="A39" s="39">
        <v>1</v>
      </c>
      <c r="B39" s="75">
        <f>PRODUCT(PARAMETROS!B$8,A39)/A$3</f>
        <v>66.04346666666666</v>
      </c>
      <c r="C39" s="76">
        <f t="shared" si="0"/>
        <v>35.657142857142858</v>
      </c>
      <c r="D39" s="75">
        <f t="shared" si="1"/>
        <v>21.972661359999993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</row>
    <row r="41" spans="1:173" hidden="1" x14ac:dyDescent="0.2">
      <c r="C41" s="211" t="s">
        <v>93</v>
      </c>
    </row>
    <row r="42" spans="1:173" ht="13.5" hidden="1" thickBot="1" x14ac:dyDescent="0.25"/>
    <row r="43" spans="1:173" s="8" customFormat="1" ht="26.25" hidden="1" thickBot="1" x14ac:dyDescent="0.25">
      <c r="A43" s="33"/>
      <c r="B43" s="206" t="s">
        <v>34</v>
      </c>
      <c r="C43" s="207">
        <v>8.32</v>
      </c>
      <c r="D43" s="106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</row>
    <row r="44" spans="1:173" hidden="1" x14ac:dyDescent="0.2"/>
  </sheetData>
  <sheetProtection algorithmName="SHA-512" hashValue="n4lMn6pWfo1Y45GG/ymO1pFkvx2/31+ANnxoCW8Yn4+Vj9/h4+s/ahBo7yVphd30bp3dCgZuQKyBY6dkHVK2OA==" saltValue="dpjTQJTkTeFTbbmiMMBB9Q==" spinCount="100000" sheet="1" objects="1" scenarios="1"/>
  <protectedRanges>
    <protectedRange sqref="I36" name="CALCULO RC"/>
    <protectedRange sqref="I8" name="RET TC_1"/>
    <protectedRange sqref="I23" name="DED_1"/>
    <protectedRange sqref="I26" name="RET TP_1"/>
  </protectedRanges>
  <mergeCells count="34">
    <mergeCell ref="F20:J21"/>
    <mergeCell ref="F36:H37"/>
    <mergeCell ref="F34:H34"/>
    <mergeCell ref="I36:I37"/>
    <mergeCell ref="F29:I30"/>
    <mergeCell ref="F32:F33"/>
    <mergeCell ref="G32:G33"/>
    <mergeCell ref="H32:H33"/>
    <mergeCell ref="I32:I33"/>
    <mergeCell ref="F23:H24"/>
    <mergeCell ref="I23:I24"/>
    <mergeCell ref="F26:H27"/>
    <mergeCell ref="I26:I27"/>
    <mergeCell ref="F16:F17"/>
    <mergeCell ref="G16:G17"/>
    <mergeCell ref="H16:H17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A1:D1"/>
    <mergeCell ref="F2:H2"/>
    <mergeCell ref="I2:J2"/>
    <mergeCell ref="F4:F5"/>
    <mergeCell ref="G4:G5"/>
    <mergeCell ref="H4:H5"/>
    <mergeCell ref="I4:I5"/>
    <mergeCell ref="J4:J5"/>
    <mergeCell ref="F1:J1"/>
  </mergeCells>
  <phoneticPr fontId="0" type="noConversion"/>
  <hyperlinks>
    <hyperlink ref="I36:I37" r:id="rId1" display="CALCULO RC" xr:uid="{00000000-0004-0000-0600-000000000000}"/>
  </hyperlinks>
  <printOptions horizontalCentered="1"/>
  <pageMargins left="0.94488188976377963" right="0.94488188976377963" top="0" bottom="0.39370078740157483" header="0" footer="0"/>
  <pageSetup paperSize="9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N44"/>
  <sheetViews>
    <sheetView tabSelected="1" topLeftCell="B1" zoomScale="96" zoomScaleNormal="96" workbookViewId="0">
      <selection activeCell="I10" sqref="I10"/>
    </sheetView>
  </sheetViews>
  <sheetFormatPr baseColWidth="10" defaultRowHeight="12.75" x14ac:dyDescent="0.2"/>
  <cols>
    <col min="1" max="1" width="25.28515625" style="1" bestFit="1" customWidth="1"/>
    <col min="2" max="2" width="38.5703125" style="1" customWidth="1"/>
    <col min="3" max="3" width="38.5703125" style="3" hidden="1" customWidth="1"/>
    <col min="4" max="4" width="38.5703125" style="1" customWidth="1"/>
    <col min="5" max="5" width="13.42578125" customWidth="1"/>
    <col min="6" max="6" width="20.28515625" customWidth="1"/>
    <col min="7" max="7" width="24.28515625" customWidth="1"/>
    <col min="8" max="8" width="26.7109375" customWidth="1"/>
    <col min="9" max="9" width="17" customWidth="1"/>
    <col min="10" max="10" width="15.28515625" bestFit="1" customWidth="1"/>
  </cols>
  <sheetData>
    <row r="1" spans="1:170" s="8" customFormat="1" ht="43.15" customHeight="1" x14ac:dyDescent="0.2">
      <c r="A1" s="264" t="s">
        <v>113</v>
      </c>
      <c r="B1" s="264"/>
      <c r="C1" s="264"/>
      <c r="D1" s="264"/>
      <c r="E1" s="20"/>
      <c r="F1" s="260" t="s">
        <v>115</v>
      </c>
      <c r="G1" s="261"/>
      <c r="H1" s="261"/>
      <c r="I1" s="261"/>
      <c r="J1" s="262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</row>
    <row r="2" spans="1:170" s="27" customFormat="1" ht="25.5" x14ac:dyDescent="0.2">
      <c r="A2" s="40" t="s">
        <v>45</v>
      </c>
      <c r="B2" s="65" t="s">
        <v>46</v>
      </c>
      <c r="C2" s="86" t="s">
        <v>91</v>
      </c>
      <c r="D2" s="67" t="s">
        <v>108</v>
      </c>
      <c r="E2" s="17"/>
      <c r="F2" s="312" t="s">
        <v>50</v>
      </c>
      <c r="G2" s="313"/>
      <c r="H2" s="314"/>
      <c r="I2" s="312" t="s">
        <v>54</v>
      </c>
      <c r="J2" s="314"/>
      <c r="K2" s="36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</row>
    <row r="3" spans="1:170" ht="15" customHeight="1" x14ac:dyDescent="0.2">
      <c r="A3" s="37">
        <v>37.5</v>
      </c>
      <c r="B3" s="71">
        <f>PARAMETROS!B9</f>
        <v>2126.9646666666667</v>
      </c>
      <c r="C3" s="72"/>
      <c r="D3" s="71">
        <v>644.04</v>
      </c>
      <c r="F3" s="124" t="s">
        <v>49</v>
      </c>
      <c r="G3" s="124" t="s">
        <v>60</v>
      </c>
      <c r="H3" s="124" t="s">
        <v>61</v>
      </c>
      <c r="I3" s="125" t="s">
        <v>52</v>
      </c>
      <c r="J3" s="124" t="s">
        <v>53</v>
      </c>
      <c r="K3" s="27"/>
    </row>
    <row r="4" spans="1:170" ht="15" customHeight="1" x14ac:dyDescent="0.2">
      <c r="A4" s="38">
        <v>36</v>
      </c>
      <c r="B4" s="73">
        <f>PRODUCT(B$3,A4)/A$3</f>
        <v>2041.88608</v>
      </c>
      <c r="C4" s="74">
        <f t="shared" ref="C4:C39" si="0">(A4/$A$3*7.5*5)/7*30*$C$43</f>
        <v>1283.6571428571431</v>
      </c>
      <c r="D4" s="73">
        <f>IF(B4&lt;C4,C4*$H$18%,B4*$H$18%)</f>
        <v>679.33549881599993</v>
      </c>
      <c r="F4" s="315">
        <v>7</v>
      </c>
      <c r="G4" s="268">
        <v>1381.2</v>
      </c>
      <c r="H4" s="268">
        <v>4909.5</v>
      </c>
      <c r="I4" s="272">
        <v>1381.2</v>
      </c>
      <c r="J4" s="272">
        <v>4909.5</v>
      </c>
      <c r="K4" s="8"/>
    </row>
    <row r="5" spans="1:170" ht="15" customHeight="1" x14ac:dyDescent="0.2">
      <c r="A5" s="38">
        <v>35</v>
      </c>
      <c r="B5" s="73">
        <f>PRODUCT(B$3,A5)/A$3</f>
        <v>1985.1670222222224</v>
      </c>
      <c r="C5" s="74">
        <f t="shared" si="0"/>
        <v>1248</v>
      </c>
      <c r="D5" s="73">
        <f t="shared" ref="D5:D39" si="1">IF(B5&lt;C5,C5*$H$18%,B5*$H$18%)</f>
        <v>660.46506829333327</v>
      </c>
      <c r="F5" s="316"/>
      <c r="G5" s="269"/>
      <c r="H5" s="269"/>
      <c r="I5" s="273"/>
      <c r="J5" s="273"/>
      <c r="K5" s="8"/>
    </row>
    <row r="6" spans="1:170" ht="15" customHeight="1" x14ac:dyDescent="0.2">
      <c r="A6" s="38">
        <v>34</v>
      </c>
      <c r="B6" s="73">
        <f t="shared" ref="B6:B39" si="2">PRODUCT(B$3,A6)/A$3</f>
        <v>1928.4479644444446</v>
      </c>
      <c r="C6" s="74">
        <f t="shared" si="0"/>
        <v>1212.3428571428569</v>
      </c>
      <c r="D6" s="73">
        <f t="shared" si="1"/>
        <v>641.59463777066662</v>
      </c>
      <c r="F6" s="35"/>
      <c r="G6" s="8"/>
      <c r="H6" s="8"/>
      <c r="I6" s="115"/>
      <c r="J6" s="8"/>
      <c r="K6" s="8"/>
    </row>
    <row r="7" spans="1:170" ht="15" customHeight="1" thickBot="1" x14ac:dyDescent="0.25">
      <c r="A7" s="38">
        <v>33</v>
      </c>
      <c r="B7" s="73">
        <f t="shared" si="2"/>
        <v>1871.7289066666667</v>
      </c>
      <c r="C7" s="74">
        <f t="shared" si="0"/>
        <v>1176.6857142857145</v>
      </c>
      <c r="D7" s="73">
        <f t="shared" si="1"/>
        <v>622.72420724799986</v>
      </c>
      <c r="F7" s="35"/>
      <c r="G7" s="19"/>
      <c r="H7" s="8"/>
      <c r="I7" s="115"/>
      <c r="J7" s="8"/>
      <c r="K7" s="8"/>
    </row>
    <row r="8" spans="1:170" ht="15" customHeight="1" x14ac:dyDescent="0.2">
      <c r="A8" s="38">
        <v>32</v>
      </c>
      <c r="B8" s="73">
        <f t="shared" si="2"/>
        <v>1815.0098488888889</v>
      </c>
      <c r="C8" s="74">
        <f t="shared" si="0"/>
        <v>1141.0285714285715</v>
      </c>
      <c r="D8" s="73">
        <f t="shared" si="1"/>
        <v>603.8537767253332</v>
      </c>
      <c r="F8" s="237" t="s">
        <v>87</v>
      </c>
      <c r="G8" s="237"/>
      <c r="H8" s="238"/>
      <c r="I8" s="241">
        <v>0</v>
      </c>
      <c r="J8" s="8"/>
      <c r="K8" s="8"/>
    </row>
    <row r="9" spans="1:170" ht="15" customHeight="1" thickBot="1" x14ac:dyDescent="0.25">
      <c r="A9" s="38">
        <v>31</v>
      </c>
      <c r="B9" s="73">
        <f t="shared" si="2"/>
        <v>1758.2907911111113</v>
      </c>
      <c r="C9" s="74">
        <f t="shared" si="0"/>
        <v>1105.3714285714286</v>
      </c>
      <c r="D9" s="73">
        <f t="shared" si="1"/>
        <v>584.98334620266667</v>
      </c>
      <c r="F9" s="237"/>
      <c r="G9" s="237"/>
      <c r="H9" s="238"/>
      <c r="I9" s="242"/>
      <c r="J9" s="8"/>
      <c r="K9" s="8"/>
    </row>
    <row r="10" spans="1:170" ht="15" customHeight="1" thickBot="1" x14ac:dyDescent="0.25">
      <c r="A10" s="38">
        <v>30</v>
      </c>
      <c r="B10" s="73">
        <f t="shared" si="2"/>
        <v>1701.5717333333334</v>
      </c>
      <c r="C10" s="74">
        <f t="shared" si="0"/>
        <v>1069.7142857142856</v>
      </c>
      <c r="D10" s="73">
        <f t="shared" si="1"/>
        <v>566.1129156799999</v>
      </c>
      <c r="F10" s="120"/>
      <c r="G10" s="121"/>
      <c r="H10" s="122"/>
      <c r="I10" s="123"/>
      <c r="J10" s="8"/>
      <c r="K10" s="8"/>
    </row>
    <row r="11" spans="1:170" ht="15" customHeight="1" x14ac:dyDescent="0.2">
      <c r="A11" s="38">
        <v>29</v>
      </c>
      <c r="B11" s="73">
        <f t="shared" si="2"/>
        <v>1644.8526755555556</v>
      </c>
      <c r="C11" s="74">
        <f t="shared" si="0"/>
        <v>1034.0571428571429</v>
      </c>
      <c r="D11" s="73">
        <f t="shared" si="1"/>
        <v>547.24248515733325</v>
      </c>
      <c r="F11" s="243" t="s">
        <v>62</v>
      </c>
      <c r="G11" s="244"/>
      <c r="H11" s="244"/>
      <c r="I11" s="245"/>
      <c r="J11" s="8"/>
      <c r="K11" s="8"/>
    </row>
    <row r="12" spans="1:170" ht="15" customHeight="1" thickBot="1" x14ac:dyDescent="0.25">
      <c r="A12" s="38">
        <v>28</v>
      </c>
      <c r="B12" s="73">
        <f t="shared" si="2"/>
        <v>1588.1336177777778</v>
      </c>
      <c r="C12" s="74">
        <f t="shared" si="0"/>
        <v>998.40000000000032</v>
      </c>
      <c r="D12" s="73">
        <f t="shared" si="1"/>
        <v>528.3720546346666</v>
      </c>
      <c r="F12" s="246"/>
      <c r="G12" s="247"/>
      <c r="H12" s="247"/>
      <c r="I12" s="248"/>
      <c r="J12" s="8"/>
      <c r="K12" s="8"/>
    </row>
    <row r="13" spans="1:170" ht="15" customHeight="1" thickBot="1" x14ac:dyDescent="0.25">
      <c r="A13" s="38">
        <v>27</v>
      </c>
      <c r="B13" s="73">
        <f t="shared" si="2"/>
        <v>1531.4145600000002</v>
      </c>
      <c r="C13" s="74">
        <f t="shared" si="0"/>
        <v>962.74285714285713</v>
      </c>
      <c r="D13" s="73">
        <f t="shared" si="1"/>
        <v>509.50162411199994</v>
      </c>
      <c r="F13" s="117"/>
      <c r="G13" s="135" t="s">
        <v>55</v>
      </c>
      <c r="H13" s="133" t="s">
        <v>56</v>
      </c>
      <c r="I13" s="142" t="s">
        <v>57</v>
      </c>
      <c r="J13" s="8"/>
      <c r="K13" s="8"/>
    </row>
    <row r="14" spans="1:170" ht="15" customHeight="1" x14ac:dyDescent="0.2">
      <c r="A14" s="38">
        <v>26</v>
      </c>
      <c r="B14" s="73">
        <f t="shared" si="2"/>
        <v>1474.6955022222223</v>
      </c>
      <c r="C14" s="74">
        <f t="shared" si="0"/>
        <v>927.08571428571429</v>
      </c>
      <c r="D14" s="73">
        <f t="shared" si="1"/>
        <v>490.63119358933329</v>
      </c>
      <c r="F14" s="256" t="s">
        <v>58</v>
      </c>
      <c r="G14" s="251">
        <f>IF(I8&gt;=G4,I8,G4)</f>
        <v>1381.2</v>
      </c>
      <c r="H14" s="233">
        <v>24.27</v>
      </c>
      <c r="I14" s="235">
        <f>G14*H14%</f>
        <v>335.21724</v>
      </c>
      <c r="J14" s="8"/>
      <c r="K14" s="8"/>
    </row>
    <row r="15" spans="1:170" ht="15" customHeight="1" thickBot="1" x14ac:dyDescent="0.25">
      <c r="A15" s="38">
        <v>25</v>
      </c>
      <c r="B15" s="73">
        <f t="shared" si="2"/>
        <v>1417.9764444444445</v>
      </c>
      <c r="C15" s="74">
        <f t="shared" si="0"/>
        <v>891.42857142857156</v>
      </c>
      <c r="D15" s="73">
        <f t="shared" si="1"/>
        <v>471.76076306666658</v>
      </c>
      <c r="F15" s="257"/>
      <c r="G15" s="252"/>
      <c r="H15" s="234"/>
      <c r="I15" s="236"/>
      <c r="J15" s="8"/>
      <c r="K15" s="8"/>
    </row>
    <row r="16" spans="1:170" ht="15" customHeight="1" x14ac:dyDescent="0.2">
      <c r="A16" s="38">
        <v>24</v>
      </c>
      <c r="B16" s="73">
        <f t="shared" si="2"/>
        <v>1361.2573866666667</v>
      </c>
      <c r="C16" s="74">
        <f t="shared" si="0"/>
        <v>855.77142857142849</v>
      </c>
      <c r="D16" s="73">
        <f t="shared" si="1"/>
        <v>452.89033254399993</v>
      </c>
      <c r="F16" s="256" t="s">
        <v>59</v>
      </c>
      <c r="G16" s="251">
        <f>IF(I8&gt;=I4,I8,I4)</f>
        <v>1381.2</v>
      </c>
      <c r="H16" s="233">
        <v>9</v>
      </c>
      <c r="I16" s="235">
        <f>G16*H16%</f>
        <v>124.30799999999999</v>
      </c>
      <c r="J16" s="8"/>
      <c r="K16" s="8"/>
    </row>
    <row r="17" spans="1:11" ht="15" customHeight="1" thickBot="1" x14ac:dyDescent="0.25">
      <c r="A17" s="38">
        <v>23</v>
      </c>
      <c r="B17" s="73">
        <f t="shared" si="2"/>
        <v>1304.5383288888888</v>
      </c>
      <c r="C17" s="74">
        <f t="shared" si="0"/>
        <v>820.11428571428576</v>
      </c>
      <c r="D17" s="73">
        <f t="shared" si="1"/>
        <v>434.01990202133322</v>
      </c>
      <c r="F17" s="257"/>
      <c r="G17" s="252"/>
      <c r="H17" s="234"/>
      <c r="I17" s="236"/>
      <c r="J17" s="8"/>
      <c r="K17" s="8"/>
    </row>
    <row r="18" spans="1:11" ht="15" customHeight="1" thickBot="1" x14ac:dyDescent="0.25">
      <c r="A18" s="38">
        <v>22</v>
      </c>
      <c r="B18" s="73">
        <f t="shared" si="2"/>
        <v>1247.8192711111112</v>
      </c>
      <c r="C18" s="74">
        <f t="shared" si="0"/>
        <v>784.4571428571428</v>
      </c>
      <c r="D18" s="73">
        <f t="shared" si="1"/>
        <v>415.14947149866663</v>
      </c>
      <c r="F18" s="274" t="s">
        <v>63</v>
      </c>
      <c r="G18" s="275"/>
      <c r="H18" s="134">
        <f>(H14+H16)</f>
        <v>33.269999999999996</v>
      </c>
      <c r="I18" s="130">
        <f>SUM(I14:I17)</f>
        <v>459.52524</v>
      </c>
      <c r="J18" s="8"/>
      <c r="K18" s="8"/>
    </row>
    <row r="19" spans="1:11" ht="15" customHeight="1" x14ac:dyDescent="0.2">
      <c r="A19" s="38">
        <v>21</v>
      </c>
      <c r="B19" s="73">
        <f t="shared" si="2"/>
        <v>1191.1002133333334</v>
      </c>
      <c r="C19" s="74">
        <f t="shared" si="0"/>
        <v>748.80000000000007</v>
      </c>
      <c r="D19" s="73">
        <f t="shared" si="1"/>
        <v>396.27904097599992</v>
      </c>
      <c r="F19" s="126"/>
      <c r="G19" s="127"/>
      <c r="H19" s="128"/>
      <c r="I19" s="129"/>
      <c r="J19" s="8"/>
      <c r="K19" s="8"/>
    </row>
    <row r="20" spans="1:11" ht="15" customHeight="1" x14ac:dyDescent="0.2">
      <c r="A20" s="38">
        <v>20</v>
      </c>
      <c r="B20" s="73">
        <f t="shared" si="2"/>
        <v>1134.3811555555556</v>
      </c>
      <c r="C20" s="74">
        <f t="shared" si="0"/>
        <v>713.14285714285722</v>
      </c>
      <c r="D20" s="73">
        <f t="shared" si="1"/>
        <v>377.40861045333327</v>
      </c>
      <c r="F20" s="263" t="s">
        <v>76</v>
      </c>
      <c r="G20" s="263"/>
      <c r="H20" s="263"/>
      <c r="I20" s="263"/>
      <c r="J20" s="263"/>
      <c r="K20" s="147"/>
    </row>
    <row r="21" spans="1:11" ht="15" customHeight="1" x14ac:dyDescent="0.2">
      <c r="A21" s="38">
        <v>19</v>
      </c>
      <c r="B21" s="73">
        <f t="shared" si="2"/>
        <v>1077.6620977777777</v>
      </c>
      <c r="C21" s="74">
        <f t="shared" si="0"/>
        <v>677.48571428571438</v>
      </c>
      <c r="D21" s="73">
        <f t="shared" si="1"/>
        <v>358.53817993066656</v>
      </c>
      <c r="F21" s="263"/>
      <c r="G21" s="263"/>
      <c r="H21" s="263"/>
      <c r="I21" s="263"/>
      <c r="J21" s="263"/>
      <c r="K21" s="147"/>
    </row>
    <row r="22" spans="1:11" ht="15" customHeight="1" thickBot="1" x14ac:dyDescent="0.25">
      <c r="A22" s="38">
        <v>18</v>
      </c>
      <c r="B22" s="73">
        <f t="shared" si="2"/>
        <v>1020.94304</v>
      </c>
      <c r="C22" s="74">
        <f t="shared" si="0"/>
        <v>641.82857142857154</v>
      </c>
      <c r="D22" s="73">
        <f t="shared" si="1"/>
        <v>339.66774940799996</v>
      </c>
      <c r="F22" s="35"/>
      <c r="G22" s="19"/>
      <c r="H22" s="8"/>
      <c r="I22" s="115"/>
      <c r="J22" s="8"/>
      <c r="K22" s="8"/>
    </row>
    <row r="23" spans="1:11" ht="15" customHeight="1" x14ac:dyDescent="0.2">
      <c r="A23" s="38">
        <v>17</v>
      </c>
      <c r="B23" s="73">
        <f t="shared" si="2"/>
        <v>964.22398222222228</v>
      </c>
      <c r="C23" s="74">
        <f t="shared" si="0"/>
        <v>606.17142857142846</v>
      </c>
      <c r="D23" s="73">
        <f t="shared" si="1"/>
        <v>320.79731888533331</v>
      </c>
      <c r="F23" s="237" t="s">
        <v>64</v>
      </c>
      <c r="G23" s="237"/>
      <c r="H23" s="238"/>
      <c r="I23" s="239">
        <v>0</v>
      </c>
      <c r="J23" s="8"/>
      <c r="K23" s="8"/>
    </row>
    <row r="24" spans="1:11" ht="15" customHeight="1" thickBot="1" x14ac:dyDescent="0.25">
      <c r="A24" s="38">
        <v>16</v>
      </c>
      <c r="B24" s="73">
        <f t="shared" si="2"/>
        <v>907.50492444444444</v>
      </c>
      <c r="C24" s="74">
        <f t="shared" si="0"/>
        <v>570.51428571428573</v>
      </c>
      <c r="D24" s="73">
        <f t="shared" si="1"/>
        <v>301.9268883626666</v>
      </c>
      <c r="F24" s="237"/>
      <c r="G24" s="237"/>
      <c r="H24" s="238"/>
      <c r="I24" s="240"/>
      <c r="J24" s="8"/>
      <c r="K24" s="8"/>
    </row>
    <row r="25" spans="1:11" ht="15" customHeight="1" thickBot="1" x14ac:dyDescent="0.25">
      <c r="A25" s="38">
        <v>15</v>
      </c>
      <c r="B25" s="73">
        <f t="shared" si="2"/>
        <v>850.78586666666672</v>
      </c>
      <c r="C25" s="74">
        <f t="shared" si="0"/>
        <v>534.85714285714278</v>
      </c>
      <c r="D25" s="73">
        <f t="shared" si="1"/>
        <v>283.05645783999995</v>
      </c>
      <c r="F25" s="35"/>
      <c r="G25" s="19"/>
      <c r="H25" s="8"/>
      <c r="I25" s="115"/>
      <c r="J25" s="8"/>
      <c r="K25" s="8"/>
    </row>
    <row r="26" spans="1:11" ht="15" customHeight="1" x14ac:dyDescent="0.2">
      <c r="A26" s="38">
        <v>14</v>
      </c>
      <c r="B26" s="73">
        <f t="shared" si="2"/>
        <v>794.06680888888889</v>
      </c>
      <c r="C26" s="74">
        <f t="shared" si="0"/>
        <v>499.20000000000016</v>
      </c>
      <c r="D26" s="73">
        <f t="shared" si="1"/>
        <v>264.1860273173333</v>
      </c>
      <c r="F26" s="237" t="s">
        <v>68</v>
      </c>
      <c r="G26" s="237"/>
      <c r="H26" s="238"/>
      <c r="I26" s="241">
        <v>0</v>
      </c>
      <c r="J26" s="8"/>
      <c r="K26" s="8"/>
    </row>
    <row r="27" spans="1:11" ht="15" customHeight="1" thickBot="1" x14ac:dyDescent="0.25">
      <c r="A27" s="38">
        <v>13</v>
      </c>
      <c r="B27" s="73">
        <f t="shared" si="2"/>
        <v>737.34775111111117</v>
      </c>
      <c r="C27" s="74">
        <f t="shared" si="0"/>
        <v>463.54285714285714</v>
      </c>
      <c r="D27" s="73">
        <f t="shared" si="1"/>
        <v>245.31559679466665</v>
      </c>
      <c r="F27" s="237"/>
      <c r="G27" s="237"/>
      <c r="H27" s="238"/>
      <c r="I27" s="242"/>
      <c r="J27" s="8"/>
      <c r="K27" s="8"/>
    </row>
    <row r="28" spans="1:11" ht="15" customHeight="1" thickBot="1" x14ac:dyDescent="0.25">
      <c r="A28" s="38">
        <v>12</v>
      </c>
      <c r="B28" s="73">
        <f t="shared" si="2"/>
        <v>680.62869333333333</v>
      </c>
      <c r="C28" s="74">
        <f t="shared" si="0"/>
        <v>427.88571428571424</v>
      </c>
      <c r="D28" s="73">
        <f t="shared" si="1"/>
        <v>226.44516627199997</v>
      </c>
      <c r="F28" s="35"/>
      <c r="G28" s="19"/>
      <c r="H28" s="8"/>
      <c r="I28" s="115"/>
      <c r="J28" s="8"/>
      <c r="K28" s="8"/>
    </row>
    <row r="29" spans="1:11" ht="15" customHeight="1" x14ac:dyDescent="0.2">
      <c r="A29" s="38">
        <v>11</v>
      </c>
      <c r="B29" s="73">
        <f t="shared" si="2"/>
        <v>623.90963555555561</v>
      </c>
      <c r="C29" s="74">
        <f t="shared" si="0"/>
        <v>392.2285714285714</v>
      </c>
      <c r="D29" s="73">
        <f t="shared" si="1"/>
        <v>207.57473574933331</v>
      </c>
      <c r="F29" s="243" t="s">
        <v>65</v>
      </c>
      <c r="G29" s="244"/>
      <c r="H29" s="244"/>
      <c r="I29" s="245"/>
      <c r="J29" s="8"/>
      <c r="K29" s="8"/>
    </row>
    <row r="30" spans="1:11" ht="15" customHeight="1" thickBot="1" x14ac:dyDescent="0.25">
      <c r="A30" s="38">
        <v>10</v>
      </c>
      <c r="B30" s="73">
        <f t="shared" si="2"/>
        <v>567.19057777777778</v>
      </c>
      <c r="C30" s="74">
        <f t="shared" si="0"/>
        <v>356.57142857142861</v>
      </c>
      <c r="D30" s="73">
        <f t="shared" si="1"/>
        <v>188.70430522666663</v>
      </c>
      <c r="F30" s="246"/>
      <c r="G30" s="247"/>
      <c r="H30" s="247"/>
      <c r="I30" s="248"/>
      <c r="J30" s="8"/>
      <c r="K30" s="8"/>
    </row>
    <row r="31" spans="1:11" ht="15" customHeight="1" thickBot="1" x14ac:dyDescent="0.25">
      <c r="A31" s="38">
        <v>9</v>
      </c>
      <c r="B31" s="73">
        <f t="shared" si="2"/>
        <v>510.47152</v>
      </c>
      <c r="C31" s="74">
        <f t="shared" si="0"/>
        <v>320.91428571428577</v>
      </c>
      <c r="D31" s="73">
        <f t="shared" si="1"/>
        <v>169.83387470399998</v>
      </c>
      <c r="F31" s="137" t="s">
        <v>69</v>
      </c>
      <c r="G31" s="135" t="s">
        <v>55</v>
      </c>
      <c r="H31" s="133" t="s">
        <v>70</v>
      </c>
      <c r="I31" s="119" t="s">
        <v>57</v>
      </c>
      <c r="J31" s="8"/>
      <c r="K31" s="8"/>
    </row>
    <row r="32" spans="1:11" ht="15" customHeight="1" x14ac:dyDescent="0.2">
      <c r="A32" s="38">
        <v>8</v>
      </c>
      <c r="B32" s="73">
        <f t="shared" si="2"/>
        <v>453.75246222222222</v>
      </c>
      <c r="C32" s="74">
        <f t="shared" si="0"/>
        <v>285.25714285714287</v>
      </c>
      <c r="D32" s="73">
        <f t="shared" si="1"/>
        <v>150.9634441813333</v>
      </c>
      <c r="F32" s="318">
        <f>((I23/37.5*7.5*5)/7)*30*$C$43</f>
        <v>0</v>
      </c>
      <c r="G32" s="231">
        <f>IF(I26&lt;F32,F32,I26)</f>
        <v>0</v>
      </c>
      <c r="H32" s="233">
        <v>33.270000000000003</v>
      </c>
      <c r="I32" s="235">
        <f>G32*H32%</f>
        <v>0</v>
      </c>
      <c r="J32" s="8"/>
      <c r="K32" s="8"/>
    </row>
    <row r="33" spans="1:11" ht="15" customHeight="1" thickBot="1" x14ac:dyDescent="0.25">
      <c r="A33" s="38">
        <v>7</v>
      </c>
      <c r="B33" s="73">
        <f t="shared" si="2"/>
        <v>397.03340444444444</v>
      </c>
      <c r="C33" s="74">
        <f t="shared" si="0"/>
        <v>249.60000000000008</v>
      </c>
      <c r="D33" s="73">
        <f t="shared" si="1"/>
        <v>132.09301365866665</v>
      </c>
      <c r="F33" s="230"/>
      <c r="G33" s="232"/>
      <c r="H33" s="234"/>
      <c r="I33" s="236"/>
      <c r="J33" s="8"/>
      <c r="K33" s="8"/>
    </row>
    <row r="34" spans="1:11" ht="15" customHeight="1" thickBot="1" x14ac:dyDescent="0.25">
      <c r="A34" s="38">
        <v>6</v>
      </c>
      <c r="B34" s="73">
        <f t="shared" si="2"/>
        <v>340.31434666666667</v>
      </c>
      <c r="C34" s="74">
        <f t="shared" si="0"/>
        <v>213.94285714285712</v>
      </c>
      <c r="D34" s="73">
        <f t="shared" si="1"/>
        <v>113.22258313599998</v>
      </c>
      <c r="F34" s="224" t="s">
        <v>66</v>
      </c>
      <c r="G34" s="225"/>
      <c r="H34" s="226"/>
      <c r="I34" s="130">
        <f>SUM(I32)</f>
        <v>0</v>
      </c>
      <c r="J34" s="8"/>
      <c r="K34" s="8"/>
    </row>
    <row r="35" spans="1:11" ht="15" customHeight="1" x14ac:dyDescent="0.2">
      <c r="A35" s="38">
        <v>5</v>
      </c>
      <c r="B35" s="73">
        <f t="shared" si="2"/>
        <v>283.59528888888889</v>
      </c>
      <c r="C35" s="74">
        <f t="shared" si="0"/>
        <v>178.28571428571431</v>
      </c>
      <c r="D35" s="73">
        <f t="shared" si="1"/>
        <v>94.352152613333317</v>
      </c>
      <c r="F35" s="35"/>
      <c r="G35" s="19"/>
      <c r="H35" s="8"/>
      <c r="I35" s="115"/>
      <c r="J35" s="8"/>
      <c r="K35" s="136"/>
    </row>
    <row r="36" spans="1:11" ht="15" customHeight="1" x14ac:dyDescent="0.2">
      <c r="A36" s="38">
        <v>4</v>
      </c>
      <c r="B36" s="73">
        <f t="shared" si="2"/>
        <v>226.87623111111111</v>
      </c>
      <c r="C36" s="74">
        <f t="shared" si="0"/>
        <v>142.62857142857143</v>
      </c>
      <c r="D36" s="73">
        <f t="shared" si="1"/>
        <v>75.481722090666651</v>
      </c>
      <c r="F36" s="301" t="s">
        <v>67</v>
      </c>
      <c r="G36" s="301"/>
      <c r="H36" s="301"/>
      <c r="I36" s="228" t="s">
        <v>101</v>
      </c>
      <c r="K36" s="136"/>
    </row>
    <row r="37" spans="1:11" ht="15" customHeight="1" x14ac:dyDescent="0.2">
      <c r="A37" s="38">
        <v>3</v>
      </c>
      <c r="B37" s="73">
        <f t="shared" si="2"/>
        <v>170.15717333333333</v>
      </c>
      <c r="C37" s="74">
        <f t="shared" si="0"/>
        <v>106.97142857142856</v>
      </c>
      <c r="D37" s="73">
        <f t="shared" si="1"/>
        <v>56.611291567999992</v>
      </c>
      <c r="F37" s="301"/>
      <c r="G37" s="301"/>
      <c r="H37" s="301"/>
      <c r="I37" s="228"/>
      <c r="K37" s="136"/>
    </row>
    <row r="38" spans="1:11" ht="15" customHeight="1" x14ac:dyDescent="0.2">
      <c r="A38" s="38">
        <v>2</v>
      </c>
      <c r="B38" s="73">
        <f t="shared" si="2"/>
        <v>113.43811555555556</v>
      </c>
      <c r="C38" s="74">
        <f t="shared" si="0"/>
        <v>71.314285714285717</v>
      </c>
      <c r="D38" s="73">
        <f t="shared" si="1"/>
        <v>37.740861045333325</v>
      </c>
    </row>
    <row r="39" spans="1:11" ht="15" customHeight="1" x14ac:dyDescent="0.2">
      <c r="A39" s="39">
        <v>1</v>
      </c>
      <c r="B39" s="75">
        <f t="shared" si="2"/>
        <v>56.719057777777778</v>
      </c>
      <c r="C39" s="76">
        <f t="shared" si="0"/>
        <v>35.657142857142858</v>
      </c>
      <c r="D39" s="75">
        <f t="shared" si="1"/>
        <v>18.870430522666663</v>
      </c>
    </row>
    <row r="40" spans="1:11" hidden="1" x14ac:dyDescent="0.2"/>
    <row r="41" spans="1:11" hidden="1" x14ac:dyDescent="0.2">
      <c r="C41" s="212" t="s">
        <v>93</v>
      </c>
    </row>
    <row r="42" spans="1:11" ht="13.5" hidden="1" thickBot="1" x14ac:dyDescent="0.25"/>
    <row r="43" spans="1:11" ht="36" hidden="1" customHeight="1" thickBot="1" x14ac:dyDescent="0.25">
      <c r="B43" s="208" t="s">
        <v>17</v>
      </c>
      <c r="C43" s="209">
        <v>8.32</v>
      </c>
    </row>
    <row r="44" spans="1:11" hidden="1" x14ac:dyDescent="0.2"/>
  </sheetData>
  <sheetProtection algorithmName="SHA-512" hashValue="ifzHlujOVg8ZFIebdyBwEPeSUDUWfz0hSoDfTS9mdyE0MeX6IIULxbPPoJZLyBxZabhrgB+a1t8dbJI6xQ+3WQ==" saltValue="Uie34DfHdHhCtfJ8Hb1x/A==" spinCount="100000" sheet="1" objects="1" scenarios="1"/>
  <protectedRanges>
    <protectedRange sqref="I36" name="CALCULO RC"/>
    <protectedRange sqref="I8" name="RET TP_1"/>
    <protectedRange sqref="I23" name="DED_1"/>
    <protectedRange sqref="I26" name="RET TP_2"/>
  </protectedRanges>
  <mergeCells count="34">
    <mergeCell ref="I36:I37"/>
    <mergeCell ref="H16:H17"/>
    <mergeCell ref="F36:H37"/>
    <mergeCell ref="F20:J21"/>
    <mergeCell ref="F32:F33"/>
    <mergeCell ref="G32:G33"/>
    <mergeCell ref="H32:H33"/>
    <mergeCell ref="I32:I33"/>
    <mergeCell ref="F34:H34"/>
    <mergeCell ref="F23:H24"/>
    <mergeCell ref="I23:I24"/>
    <mergeCell ref="F26:H27"/>
    <mergeCell ref="I26:I27"/>
    <mergeCell ref="F29:I30"/>
    <mergeCell ref="F16:F17"/>
    <mergeCell ref="G16:G17"/>
    <mergeCell ref="I16:I17"/>
    <mergeCell ref="F18:G18"/>
    <mergeCell ref="F8:H9"/>
    <mergeCell ref="I8:I9"/>
    <mergeCell ref="F11:I12"/>
    <mergeCell ref="F14:F15"/>
    <mergeCell ref="G14:G15"/>
    <mergeCell ref="H14:H15"/>
    <mergeCell ref="I14:I15"/>
    <mergeCell ref="A1:D1"/>
    <mergeCell ref="F2:H2"/>
    <mergeCell ref="I2:J2"/>
    <mergeCell ref="F4:F5"/>
    <mergeCell ref="G4:G5"/>
    <mergeCell ref="H4:H5"/>
    <mergeCell ref="I4:I5"/>
    <mergeCell ref="J4:J5"/>
    <mergeCell ref="F1:J1"/>
  </mergeCells>
  <phoneticPr fontId="0" type="noConversion"/>
  <hyperlinks>
    <hyperlink ref="I36:I37" r:id="rId1" display="CALCULO RC" xr:uid="{00000000-0004-0000-0700-000000000000}"/>
  </hyperlinks>
  <printOptions horizontalCentered="1"/>
  <pageMargins left="1.71875" right="0.94488188976377963" top="0" bottom="0.39370078740157483" header="0" footer="0"/>
  <pageSetup paperSize="9" orientation="landscape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K66"/>
  <sheetViews>
    <sheetView topLeftCell="A22" zoomScale="84" zoomScaleNormal="84" workbookViewId="0">
      <selection activeCell="F31" sqref="F31"/>
    </sheetView>
  </sheetViews>
  <sheetFormatPr baseColWidth="10" defaultColWidth="11.42578125" defaultRowHeight="12.75" x14ac:dyDescent="0.2"/>
  <cols>
    <col min="1" max="1" width="35.5703125" style="8" customWidth="1"/>
    <col min="2" max="3" width="18.28515625" style="99" customWidth="1"/>
    <col min="4" max="4" width="23.5703125" style="8" bestFit="1" customWidth="1"/>
    <col min="5" max="5" width="34.7109375" style="8" customWidth="1"/>
    <col min="6" max="6" width="11.42578125" style="8"/>
    <col min="7" max="7" width="32" style="8" bestFit="1" customWidth="1"/>
    <col min="8" max="8" width="14.42578125" style="94" bestFit="1" customWidth="1"/>
    <col min="9" max="9" width="11.42578125" style="8"/>
    <col min="10" max="11" width="20.7109375" style="8" bestFit="1" customWidth="1"/>
    <col min="12" max="16384" width="11.42578125" style="8"/>
  </cols>
  <sheetData>
    <row r="1" spans="1:8" s="21" customFormat="1" ht="26.25" thickBot="1" x14ac:dyDescent="0.25">
      <c r="A1" s="26" t="s">
        <v>0</v>
      </c>
      <c r="B1" s="87" t="s">
        <v>12</v>
      </c>
      <c r="C1" s="87" t="s">
        <v>10</v>
      </c>
      <c r="H1" s="89"/>
    </row>
    <row r="2" spans="1:8" ht="16.5" customHeight="1" x14ac:dyDescent="0.2">
      <c r="A2" s="11" t="s">
        <v>33</v>
      </c>
      <c r="B2" s="96">
        <f>B16</f>
        <v>2813.5430978715499</v>
      </c>
      <c r="C2" s="96">
        <f>C16</f>
        <v>3657.6052484366</v>
      </c>
      <c r="D2" s="9"/>
      <c r="E2" s="9"/>
      <c r="G2" s="10"/>
      <c r="H2" s="90"/>
    </row>
    <row r="3" spans="1:8" ht="16.5" customHeight="1" x14ac:dyDescent="0.2">
      <c r="A3" s="11" t="s">
        <v>32</v>
      </c>
      <c r="B3" s="96">
        <f>B23</f>
        <v>2311.1250892974003</v>
      </c>
      <c r="C3" s="96">
        <f>C23</f>
        <v>3004.4615776913997</v>
      </c>
      <c r="D3" s="9"/>
      <c r="E3" s="9"/>
      <c r="G3" s="10"/>
      <c r="H3" s="90"/>
    </row>
    <row r="4" spans="1:8" ht="16.5" customHeight="1" x14ac:dyDescent="0.2">
      <c r="A4" s="11" t="s">
        <v>31</v>
      </c>
      <c r="B4" s="96">
        <f>B30</f>
        <v>0</v>
      </c>
      <c r="C4" s="96">
        <f>C30</f>
        <v>0</v>
      </c>
      <c r="D4" s="16"/>
      <c r="E4" s="16"/>
      <c r="F4" s="34"/>
    </row>
    <row r="5" spans="1:8" ht="16.5" customHeight="1" x14ac:dyDescent="0.2">
      <c r="A5" s="11" t="s">
        <v>39</v>
      </c>
      <c r="B5" s="96">
        <f>B37</f>
        <v>1708.2224406132002</v>
      </c>
      <c r="C5" s="96">
        <f>C37</f>
        <v>2220.6895189289003</v>
      </c>
      <c r="D5" s="34"/>
      <c r="E5" s="34"/>
      <c r="F5" s="132"/>
    </row>
    <row r="6" spans="1:8" ht="16.5" customHeight="1" x14ac:dyDescent="0.2">
      <c r="A6" s="11" t="s">
        <v>40</v>
      </c>
      <c r="B6" s="96">
        <f>B44</f>
        <v>1607.7386658324999</v>
      </c>
      <c r="C6" s="96">
        <f>C44</f>
        <v>2090.0594002529001</v>
      </c>
      <c r="E6" s="34"/>
      <c r="F6" s="132"/>
    </row>
    <row r="7" spans="1:8" ht="18" customHeight="1" x14ac:dyDescent="0.2">
      <c r="A7" s="11" t="s">
        <v>41</v>
      </c>
      <c r="B7" s="96">
        <f>B51</f>
        <v>1507.2548910518001</v>
      </c>
      <c r="C7" s="96">
        <f>C51</f>
        <v>1959.4318775649499</v>
      </c>
      <c r="E7" s="34"/>
      <c r="F7" s="132"/>
    </row>
    <row r="8" spans="1:8" ht="18.75" customHeight="1" x14ac:dyDescent="0.2">
      <c r="A8" s="11" t="s">
        <v>38</v>
      </c>
      <c r="B8" s="96">
        <f>F33</f>
        <v>2476.6299999999997</v>
      </c>
      <c r="C8" s="96"/>
      <c r="E8" s="34"/>
      <c r="F8" s="132"/>
    </row>
    <row r="9" spans="1:8" ht="19.5" customHeight="1" thickBot="1" x14ac:dyDescent="0.25">
      <c r="A9" s="22" t="s">
        <v>35</v>
      </c>
      <c r="B9" s="97">
        <f>F21</f>
        <v>2126.9646666666667</v>
      </c>
      <c r="C9" s="97"/>
      <c r="E9" s="34"/>
      <c r="F9" s="34"/>
    </row>
    <row r="10" spans="1:8" x14ac:dyDescent="0.2">
      <c r="A10" s="23"/>
      <c r="B10" s="98"/>
      <c r="C10" s="98"/>
      <c r="E10" s="34"/>
      <c r="F10" s="34"/>
    </row>
    <row r="11" spans="1:8" x14ac:dyDescent="0.2">
      <c r="E11" s="16"/>
      <c r="F11" s="16"/>
    </row>
    <row r="12" spans="1:8" ht="13.5" thickBot="1" x14ac:dyDescent="0.25">
      <c r="A12" s="14"/>
      <c r="D12" s="14"/>
      <c r="E12" s="17"/>
      <c r="F12" s="17"/>
    </row>
    <row r="13" spans="1:8" ht="26.25" thickBot="1" x14ac:dyDescent="0.25">
      <c r="A13" s="143" t="s">
        <v>33</v>
      </c>
      <c r="B13" s="144" t="s">
        <v>9</v>
      </c>
      <c r="C13" s="145" t="s">
        <v>11</v>
      </c>
      <c r="D13" s="14"/>
      <c r="E13" s="346" t="s">
        <v>29</v>
      </c>
      <c r="F13" s="347"/>
    </row>
    <row r="14" spans="1:8" ht="16.5" customHeight="1" thickTop="1" x14ac:dyDescent="0.25">
      <c r="A14" s="24" t="s">
        <v>13</v>
      </c>
      <c r="B14" s="100">
        <f>(D58)/12</f>
        <v>2722.7836431014998</v>
      </c>
      <c r="C14" s="101">
        <f>(E58)/12</f>
        <v>3539.6179823580001</v>
      </c>
      <c r="D14" s="14"/>
      <c r="E14" s="32" t="s">
        <v>1</v>
      </c>
      <c r="F14" s="221">
        <v>720.49</v>
      </c>
    </row>
    <row r="15" spans="1:8" ht="16.5" customHeight="1" x14ac:dyDescent="0.25">
      <c r="A15" s="24" t="s">
        <v>3</v>
      </c>
      <c r="B15" s="100">
        <f>B14/30*12/12</f>
        <v>90.759454770049999</v>
      </c>
      <c r="C15" s="101">
        <f>C14/30*12/12</f>
        <v>117.9872660786</v>
      </c>
      <c r="D15" s="14"/>
      <c r="E15" s="32" t="s">
        <v>6</v>
      </c>
      <c r="F15" s="222">
        <v>366.75</v>
      </c>
    </row>
    <row r="16" spans="1:8" ht="16.5" customHeight="1" x14ac:dyDescent="0.25">
      <c r="A16" s="25" t="s">
        <v>30</v>
      </c>
      <c r="B16" s="102">
        <f>SUM(B14:B15)</f>
        <v>2813.5430978715499</v>
      </c>
      <c r="C16" s="103">
        <f>SUM(C14:C15)</f>
        <v>3657.6052484366</v>
      </c>
      <c r="D16" s="14"/>
      <c r="E16" s="32" t="s">
        <v>7</v>
      </c>
      <c r="F16" s="222">
        <v>675.5</v>
      </c>
    </row>
    <row r="17" spans="1:8" ht="16.5" customHeight="1" x14ac:dyDescent="0.2">
      <c r="A17" s="14"/>
      <c r="B17" s="99">
        <f>B16*12</f>
        <v>33762.517174458597</v>
      </c>
      <c r="C17" s="99">
        <f>C16*12</f>
        <v>43891.262981239197</v>
      </c>
      <c r="D17" s="14"/>
      <c r="E17" s="218" t="s">
        <v>105</v>
      </c>
      <c r="F17" s="219">
        <f>SUM(F14:F16)/30*12/12</f>
        <v>58.758000000000003</v>
      </c>
      <c r="G17" s="220" t="s">
        <v>106</v>
      </c>
    </row>
    <row r="18" spans="1:8" x14ac:dyDescent="0.2">
      <c r="A18" s="14"/>
      <c r="D18" s="14"/>
      <c r="E18" s="32" t="s">
        <v>42</v>
      </c>
      <c r="F18" s="91">
        <v>76.63</v>
      </c>
    </row>
    <row r="19" spans="1:8" x14ac:dyDescent="0.2">
      <c r="A19" s="14"/>
      <c r="D19" s="14"/>
      <c r="E19" s="32"/>
      <c r="F19" s="92"/>
    </row>
    <row r="20" spans="1:8" ht="26.25" thickBot="1" x14ac:dyDescent="0.25">
      <c r="A20" s="143" t="s">
        <v>32</v>
      </c>
      <c r="B20" s="144" t="s">
        <v>9</v>
      </c>
      <c r="C20" s="145" t="s">
        <v>11</v>
      </c>
      <c r="D20" s="14"/>
      <c r="E20" s="32" t="s">
        <v>2</v>
      </c>
      <c r="F20" s="91">
        <f>(713.92+F15+F16)/6</f>
        <v>292.69499999999999</v>
      </c>
    </row>
    <row r="21" spans="1:8" ht="16.5" customHeight="1" thickTop="1" thickBot="1" x14ac:dyDescent="0.25">
      <c r="A21" s="24" t="s">
        <v>13</v>
      </c>
      <c r="B21" s="100">
        <f>(D59)/12</f>
        <v>2236.5726670620002</v>
      </c>
      <c r="C21" s="101">
        <f>(E59)/12</f>
        <v>2907.5434622819998</v>
      </c>
      <c r="D21" s="14"/>
      <c r="E21" s="15" t="s">
        <v>36</v>
      </c>
      <c r="F21" s="93">
        <f>SUM(F14:F17)+(F18/6)+F20</f>
        <v>2126.9646666666667</v>
      </c>
      <c r="G21" s="17"/>
      <c r="H21" s="95"/>
    </row>
    <row r="22" spans="1:8" ht="16.5" customHeight="1" x14ac:dyDescent="0.2">
      <c r="A22" s="24" t="s">
        <v>3</v>
      </c>
      <c r="B22" s="100">
        <f>B21/30*12/12</f>
        <v>74.552422235400002</v>
      </c>
      <c r="C22" s="101">
        <f>C21/30*12/12</f>
        <v>96.918115409399988</v>
      </c>
      <c r="D22" s="14"/>
      <c r="F22" s="94">
        <f>F21*12</f>
        <v>25523.576000000001</v>
      </c>
    </row>
    <row r="23" spans="1:8" ht="16.5" customHeight="1" x14ac:dyDescent="0.2">
      <c r="A23" s="25" t="s">
        <v>30</v>
      </c>
      <c r="B23" s="102">
        <f>SUM(B21:B22)</f>
        <v>2311.1250892974003</v>
      </c>
      <c r="C23" s="103">
        <f>SUM(C21:C22)</f>
        <v>3004.4615776913997</v>
      </c>
      <c r="D23" s="14"/>
      <c r="F23" s="94"/>
    </row>
    <row r="24" spans="1:8" ht="13.5" thickBot="1" x14ac:dyDescent="0.25">
      <c r="A24" s="14"/>
      <c r="B24" s="99">
        <f>B23*12</f>
        <v>27733.501071568804</v>
      </c>
      <c r="C24" s="99">
        <f>C23*12</f>
        <v>36053.538932296797</v>
      </c>
      <c r="D24" s="14"/>
      <c r="F24" s="94"/>
    </row>
    <row r="25" spans="1:8" ht="19.5" customHeight="1" thickBot="1" x14ac:dyDescent="0.25">
      <c r="A25" s="14"/>
      <c r="D25" s="14"/>
      <c r="E25" s="346" t="s">
        <v>28</v>
      </c>
      <c r="F25" s="347"/>
    </row>
    <row r="26" spans="1:8" ht="15" x14ac:dyDescent="0.25">
      <c r="B26" s="104"/>
      <c r="C26" s="104"/>
      <c r="D26" s="18"/>
      <c r="E26" s="32" t="s">
        <v>1</v>
      </c>
      <c r="F26" s="223">
        <v>865.68</v>
      </c>
    </row>
    <row r="27" spans="1:8" ht="29.25" thickBot="1" x14ac:dyDescent="0.3">
      <c r="A27" s="146" t="s">
        <v>31</v>
      </c>
      <c r="B27" s="144" t="s">
        <v>9</v>
      </c>
      <c r="C27" s="145" t="s">
        <v>11</v>
      </c>
      <c r="D27" s="13"/>
      <c r="E27" s="32" t="s">
        <v>4</v>
      </c>
      <c r="F27" s="222">
        <v>474.69</v>
      </c>
    </row>
    <row r="28" spans="1:8" ht="16.5" customHeight="1" thickTop="1" x14ac:dyDescent="0.25">
      <c r="A28" s="24" t="s">
        <v>13</v>
      </c>
      <c r="B28" s="100">
        <f>(D60)/12</f>
        <v>0</v>
      </c>
      <c r="C28" s="101">
        <f>(E60)/12</f>
        <v>0</v>
      </c>
      <c r="D28" s="13"/>
      <c r="E28" s="32" t="s">
        <v>5</v>
      </c>
      <c r="F28" s="222">
        <v>726.03</v>
      </c>
    </row>
    <row r="29" spans="1:8" ht="16.5" customHeight="1" x14ac:dyDescent="0.2">
      <c r="A29" s="24" t="s">
        <v>3</v>
      </c>
      <c r="B29" s="100">
        <v>0</v>
      </c>
      <c r="C29" s="101">
        <v>0</v>
      </c>
      <c r="D29" s="13"/>
      <c r="E29" s="32" t="s">
        <v>3</v>
      </c>
      <c r="F29" s="91">
        <f>SUM(F26:F28)/30*12/12</f>
        <v>68.879999999999981</v>
      </c>
      <c r="G29" s="8" t="s">
        <v>18</v>
      </c>
    </row>
    <row r="30" spans="1:8" ht="16.5" customHeight="1" x14ac:dyDescent="0.25">
      <c r="A30" s="25" t="s">
        <v>30</v>
      </c>
      <c r="B30" s="102">
        <f>SUM(B28:B29)</f>
        <v>0</v>
      </c>
      <c r="C30" s="103">
        <f>SUM(C28:C29)</f>
        <v>0</v>
      </c>
      <c r="D30" s="13"/>
      <c r="E30" s="32" t="s">
        <v>42</v>
      </c>
      <c r="F30" s="222">
        <v>99.17</v>
      </c>
    </row>
    <row r="31" spans="1:8" x14ac:dyDescent="0.2">
      <c r="A31" s="17"/>
      <c r="B31" s="105"/>
      <c r="C31" s="105"/>
      <c r="D31" s="13"/>
      <c r="E31" s="32"/>
      <c r="F31" s="92"/>
    </row>
    <row r="32" spans="1:8" x14ac:dyDescent="0.2">
      <c r="A32" s="17"/>
      <c r="B32" s="105"/>
      <c r="C32" s="105"/>
      <c r="D32" s="13"/>
      <c r="E32" s="32" t="s">
        <v>2</v>
      </c>
      <c r="F32" s="91">
        <f>(748.21+F27+F28)/6</f>
        <v>324.82166666666666</v>
      </c>
    </row>
    <row r="33" spans="1:6" ht="13.5" thickBot="1" x14ac:dyDescent="0.25">
      <c r="E33" s="15" t="s">
        <v>37</v>
      </c>
      <c r="F33" s="93">
        <f>SUM(F26:F29)+(F30/6)+F32</f>
        <v>2476.6299999999997</v>
      </c>
    </row>
    <row r="34" spans="1:6" ht="26.25" thickBot="1" x14ac:dyDescent="0.25">
      <c r="A34" s="143" t="s">
        <v>39</v>
      </c>
      <c r="B34" s="144" t="s">
        <v>9</v>
      </c>
      <c r="C34" s="145" t="s">
        <v>11</v>
      </c>
      <c r="D34" s="13"/>
      <c r="F34" s="8">
        <f>F33*12</f>
        <v>29719.559999999998</v>
      </c>
    </row>
    <row r="35" spans="1:6" ht="16.5" customHeight="1" thickTop="1" x14ac:dyDescent="0.2">
      <c r="A35" s="24" t="s">
        <v>13</v>
      </c>
      <c r="B35" s="100">
        <f>(D62)/12</f>
        <v>1653.1184909160002</v>
      </c>
      <c r="C35" s="101">
        <f>(E62)/12</f>
        <v>2149.0543731570001</v>
      </c>
      <c r="D35" s="13"/>
    </row>
    <row r="36" spans="1:6" ht="16.5" customHeight="1" x14ac:dyDescent="0.2">
      <c r="A36" s="24" t="s">
        <v>3</v>
      </c>
      <c r="B36" s="100">
        <f>B35/30*12/12</f>
        <v>55.103949697200015</v>
      </c>
      <c r="C36" s="101">
        <f>C35/30*12/12</f>
        <v>71.6351457719</v>
      </c>
      <c r="D36" s="13"/>
    </row>
    <row r="37" spans="1:6" ht="16.5" customHeight="1" x14ac:dyDescent="0.2">
      <c r="A37" s="25" t="s">
        <v>30</v>
      </c>
      <c r="B37" s="102">
        <f>SUM(B35:B36)</f>
        <v>1708.2224406132002</v>
      </c>
      <c r="C37" s="103">
        <f>SUM(C35:C36)</f>
        <v>2220.6895189289003</v>
      </c>
      <c r="D37" s="13"/>
    </row>
    <row r="38" spans="1:6" x14ac:dyDescent="0.2">
      <c r="A38" s="17"/>
      <c r="B38" s="105">
        <f>B37*12</f>
        <v>20498.669287358403</v>
      </c>
      <c r="C38" s="105">
        <f>C37*12</f>
        <v>26648.274227146801</v>
      </c>
      <c r="D38" s="13"/>
    </row>
    <row r="39" spans="1:6" x14ac:dyDescent="0.2">
      <c r="A39" s="17"/>
      <c r="B39" s="105"/>
      <c r="C39" s="105"/>
      <c r="D39" s="13"/>
    </row>
    <row r="40" spans="1:6" x14ac:dyDescent="0.2">
      <c r="B40" s="104"/>
      <c r="C40" s="104"/>
      <c r="D40" s="13"/>
    </row>
    <row r="41" spans="1:6" ht="26.25" thickBot="1" x14ac:dyDescent="0.25">
      <c r="A41" s="143" t="s">
        <v>40</v>
      </c>
      <c r="B41" s="144" t="s">
        <v>9</v>
      </c>
      <c r="C41" s="145" t="s">
        <v>11</v>
      </c>
      <c r="D41" s="13"/>
    </row>
    <row r="42" spans="1:6" ht="16.5" customHeight="1" thickTop="1" x14ac:dyDescent="0.2">
      <c r="A42" s="24" t="s">
        <v>13</v>
      </c>
      <c r="B42" s="100">
        <f>(D63)/12</f>
        <v>1555.876128225</v>
      </c>
      <c r="C42" s="101">
        <f>(E63)/12</f>
        <v>2022.638129277</v>
      </c>
      <c r="D42" s="13"/>
    </row>
    <row r="43" spans="1:6" ht="16.5" customHeight="1" x14ac:dyDescent="0.2">
      <c r="A43" s="24" t="s">
        <v>8</v>
      </c>
      <c r="B43" s="100">
        <f>B42/30*12/12</f>
        <v>51.862537607500002</v>
      </c>
      <c r="C43" s="101">
        <f>C42/30*12/12</f>
        <v>67.421270975900001</v>
      </c>
      <c r="D43" s="13"/>
    </row>
    <row r="44" spans="1:6" ht="16.5" customHeight="1" x14ac:dyDescent="0.2">
      <c r="A44" s="25" t="s">
        <v>30</v>
      </c>
      <c r="B44" s="102">
        <f>SUM(B42:B43)</f>
        <v>1607.7386658324999</v>
      </c>
      <c r="C44" s="103">
        <f>SUM(C42:C43)</f>
        <v>2090.0594002529001</v>
      </c>
      <c r="D44" s="13"/>
    </row>
    <row r="45" spans="1:6" x14ac:dyDescent="0.2">
      <c r="A45" s="17"/>
      <c r="B45" s="105">
        <f>B44*12</f>
        <v>19292.863989990001</v>
      </c>
      <c r="C45" s="105">
        <f>C44*12</f>
        <v>25080.712803034803</v>
      </c>
      <c r="D45" s="13"/>
    </row>
    <row r="46" spans="1:6" x14ac:dyDescent="0.2">
      <c r="A46" s="17"/>
      <c r="B46" s="105"/>
      <c r="C46" s="105"/>
      <c r="D46" s="13"/>
    </row>
    <row r="47" spans="1:6" x14ac:dyDescent="0.2">
      <c r="A47" s="12"/>
      <c r="B47" s="88"/>
      <c r="C47" s="88"/>
      <c r="D47" s="13"/>
    </row>
    <row r="48" spans="1:6" ht="26.25" thickBot="1" x14ac:dyDescent="0.25">
      <c r="A48" s="143" t="s">
        <v>95</v>
      </c>
      <c r="B48" s="144" t="s">
        <v>9</v>
      </c>
      <c r="C48" s="145" t="s">
        <v>11</v>
      </c>
      <c r="D48" s="13"/>
    </row>
    <row r="49" spans="1:11" ht="16.5" customHeight="1" thickTop="1" x14ac:dyDescent="0.2">
      <c r="A49" s="24" t="s">
        <v>13</v>
      </c>
      <c r="B49" s="100">
        <f>(D64)/12</f>
        <v>1458.6337655340001</v>
      </c>
      <c r="C49" s="101">
        <f>(E64)/12</f>
        <v>1896.2243976435</v>
      </c>
    </row>
    <row r="50" spans="1:11" ht="16.5" customHeight="1" x14ac:dyDescent="0.2">
      <c r="A50" s="24" t="s">
        <v>3</v>
      </c>
      <c r="B50" s="100">
        <f>B49/30*12/12</f>
        <v>48.621125517800003</v>
      </c>
      <c r="C50" s="101">
        <f>C49/30*12/12</f>
        <v>63.207479921450009</v>
      </c>
      <c r="D50" s="19"/>
    </row>
    <row r="51" spans="1:11" ht="16.5" customHeight="1" x14ac:dyDescent="0.2">
      <c r="A51" s="25" t="s">
        <v>30</v>
      </c>
      <c r="B51" s="102">
        <f>SUM(B49:B50)</f>
        <v>1507.2548910518001</v>
      </c>
      <c r="C51" s="103">
        <f>SUM(C49:C50)</f>
        <v>1959.4318775649499</v>
      </c>
      <c r="D51" s="20"/>
    </row>
    <row r="52" spans="1:11" x14ac:dyDescent="0.2">
      <c r="B52" s="99">
        <f>B51*12</f>
        <v>18087.058692621602</v>
      </c>
      <c r="C52" s="99">
        <f>C51*12</f>
        <v>23513.182530779399</v>
      </c>
      <c r="D52" s="18"/>
    </row>
    <row r="54" spans="1:11" ht="13.5" thickBot="1" x14ac:dyDescent="0.25"/>
    <row r="55" spans="1:11" ht="12.75" customHeight="1" x14ac:dyDescent="0.2">
      <c r="A55" s="348" t="s">
        <v>116</v>
      </c>
      <c r="B55" s="348"/>
      <c r="C55" s="350"/>
      <c r="D55" s="28" t="s">
        <v>19</v>
      </c>
      <c r="E55" s="28" t="s">
        <v>19</v>
      </c>
      <c r="G55" s="332" t="s">
        <v>117</v>
      </c>
      <c r="H55" s="332"/>
      <c r="I55" s="328"/>
      <c r="J55" s="110" t="s">
        <v>19</v>
      </c>
      <c r="K55" s="110" t="s">
        <v>19</v>
      </c>
    </row>
    <row r="56" spans="1:11" ht="27.6" customHeight="1" thickBot="1" x14ac:dyDescent="0.25">
      <c r="A56" s="349"/>
      <c r="B56" s="349"/>
      <c r="C56" s="351"/>
      <c r="D56" s="29" t="s">
        <v>20</v>
      </c>
      <c r="E56" s="29" t="s">
        <v>21</v>
      </c>
      <c r="G56" s="333"/>
      <c r="H56" s="333"/>
      <c r="I56" s="329"/>
      <c r="J56" s="111" t="s">
        <v>20</v>
      </c>
      <c r="K56" s="111" t="s">
        <v>21</v>
      </c>
    </row>
    <row r="57" spans="1:11" ht="15" thickBot="1" x14ac:dyDescent="0.25">
      <c r="A57" s="334" t="s">
        <v>22</v>
      </c>
      <c r="B57" s="335"/>
      <c r="C57" s="335"/>
      <c r="D57" s="335"/>
      <c r="E57" s="337"/>
      <c r="G57" s="319" t="s">
        <v>22</v>
      </c>
      <c r="H57" s="320"/>
      <c r="I57" s="320"/>
      <c r="J57" s="320"/>
      <c r="K57" s="321"/>
    </row>
    <row r="58" spans="1:11" ht="18" customHeight="1" x14ac:dyDescent="0.2">
      <c r="A58" s="338"/>
      <c r="B58" s="344" t="s">
        <v>43</v>
      </c>
      <c r="C58" s="345"/>
      <c r="D58" s="107">
        <f>0.48986%*J58+J58</f>
        <v>32673.403717218</v>
      </c>
      <c r="E58" s="107">
        <f>0.48986%*K58+K58</f>
        <v>42475.415788295999</v>
      </c>
      <c r="G58" s="322"/>
      <c r="H58" s="330" t="s">
        <v>43</v>
      </c>
      <c r="I58" s="331"/>
      <c r="J58" s="107">
        <v>32514.13</v>
      </c>
      <c r="K58" s="107">
        <v>42268.36</v>
      </c>
    </row>
    <row r="59" spans="1:11" ht="18" customHeight="1" x14ac:dyDescent="0.2">
      <c r="A59" s="338"/>
      <c r="B59" s="344" t="s">
        <v>44</v>
      </c>
      <c r="C59" s="345"/>
      <c r="D59" s="107">
        <f>0.48986%*J59+J59</f>
        <v>26838.872004744</v>
      </c>
      <c r="E59" s="107">
        <f>0.48986%*K59+K59</f>
        <v>34890.521547384</v>
      </c>
      <c r="G59" s="322"/>
      <c r="H59" s="330" t="s">
        <v>44</v>
      </c>
      <c r="I59" s="331"/>
      <c r="J59" s="107">
        <v>26708.04</v>
      </c>
      <c r="K59" s="107">
        <v>34720.44</v>
      </c>
    </row>
    <row r="60" spans="1:11" ht="18" customHeight="1" thickBot="1" x14ac:dyDescent="0.25">
      <c r="A60" s="338"/>
      <c r="B60" s="344" t="s">
        <v>23</v>
      </c>
      <c r="C60" s="345"/>
      <c r="D60" s="138"/>
      <c r="E60" s="107"/>
      <c r="G60" s="322"/>
      <c r="H60" s="330" t="s">
        <v>23</v>
      </c>
      <c r="I60" s="331"/>
      <c r="J60" s="112"/>
      <c r="K60" s="112"/>
    </row>
    <row r="61" spans="1:11" ht="15" thickBot="1" x14ac:dyDescent="0.25">
      <c r="A61" s="334" t="s">
        <v>24</v>
      </c>
      <c r="B61" s="335"/>
      <c r="C61" s="335"/>
      <c r="D61" s="336"/>
      <c r="E61" s="337"/>
      <c r="G61" s="319" t="s">
        <v>24</v>
      </c>
      <c r="H61" s="320"/>
      <c r="I61" s="320"/>
      <c r="J61" s="320"/>
      <c r="K61" s="321"/>
    </row>
    <row r="62" spans="1:11" ht="18" customHeight="1" thickBot="1" x14ac:dyDescent="0.25">
      <c r="A62" s="338"/>
      <c r="B62" s="340" t="s">
        <v>25</v>
      </c>
      <c r="C62" s="340"/>
      <c r="D62" s="108">
        <f>0.48986%*J62+J62</f>
        <v>19837.421890992002</v>
      </c>
      <c r="E62" s="108">
        <f>0.48986%*K62+K62</f>
        <v>25788.652477883999</v>
      </c>
      <c r="G62" s="322"/>
      <c r="H62" s="324" t="s">
        <v>25</v>
      </c>
      <c r="I62" s="324"/>
      <c r="J62" s="108">
        <v>19740.72</v>
      </c>
      <c r="K62" s="108">
        <v>25662.94</v>
      </c>
    </row>
    <row r="63" spans="1:11" ht="18" customHeight="1" thickBot="1" x14ac:dyDescent="0.25">
      <c r="A63" s="338"/>
      <c r="B63" s="341" t="s">
        <v>26</v>
      </c>
      <c r="C63" s="341"/>
      <c r="D63" s="108">
        <f>0.48986%*J63+J63</f>
        <v>18670.513538700001</v>
      </c>
      <c r="E63" s="108">
        <f t="shared" ref="E63:E64" si="0">0.48986%*K63+K63</f>
        <v>24271.657551323999</v>
      </c>
      <c r="G63" s="322"/>
      <c r="H63" s="325" t="s">
        <v>26</v>
      </c>
      <c r="I63" s="325"/>
      <c r="J63" s="213">
        <v>18579.5</v>
      </c>
      <c r="K63" s="213">
        <v>24153.34</v>
      </c>
    </row>
    <row r="64" spans="1:11" ht="18" customHeight="1" x14ac:dyDescent="0.2">
      <c r="A64" s="338"/>
      <c r="B64" s="342" t="s">
        <v>27</v>
      </c>
      <c r="C64" s="342"/>
      <c r="D64" s="108">
        <f>0.48986%*J64+J64</f>
        <v>17503.605186408</v>
      </c>
      <c r="E64" s="108">
        <f t="shared" si="0"/>
        <v>22754.692771721999</v>
      </c>
      <c r="G64" s="322"/>
      <c r="H64" s="326" t="s">
        <v>27</v>
      </c>
      <c r="I64" s="326"/>
      <c r="J64" s="109">
        <v>17418.28</v>
      </c>
      <c r="K64" s="109">
        <v>22643.77</v>
      </c>
    </row>
    <row r="65" spans="1:11" ht="18" customHeight="1" x14ac:dyDescent="0.2">
      <c r="A65" s="338"/>
      <c r="B65" s="342" t="s">
        <v>28</v>
      </c>
      <c r="C65" s="342"/>
      <c r="D65" s="30"/>
      <c r="E65" s="30"/>
      <c r="G65" s="322"/>
      <c r="H65" s="326" t="s">
        <v>28</v>
      </c>
      <c r="I65" s="326"/>
      <c r="J65" s="113"/>
      <c r="K65" s="113"/>
    </row>
    <row r="66" spans="1:11" ht="18" customHeight="1" thickBot="1" x14ac:dyDescent="0.25">
      <c r="A66" s="339"/>
      <c r="B66" s="343" t="s">
        <v>29</v>
      </c>
      <c r="C66" s="343"/>
      <c r="D66" s="31"/>
      <c r="E66" s="31"/>
      <c r="G66" s="323"/>
      <c r="H66" s="327" t="s">
        <v>29</v>
      </c>
      <c r="I66" s="327"/>
      <c r="J66" s="114"/>
      <c r="K66" s="114"/>
    </row>
  </sheetData>
  <mergeCells count="30">
    <mergeCell ref="B60:C60"/>
    <mergeCell ref="B59:C59"/>
    <mergeCell ref="B58:C58"/>
    <mergeCell ref="A58:A60"/>
    <mergeCell ref="E13:F13"/>
    <mergeCell ref="A55:B56"/>
    <mergeCell ref="C55:C56"/>
    <mergeCell ref="A57:E57"/>
    <mergeCell ref="E25:F25"/>
    <mergeCell ref="A61:E61"/>
    <mergeCell ref="A62:A66"/>
    <mergeCell ref="B62:C62"/>
    <mergeCell ref="B63:C63"/>
    <mergeCell ref="B64:C64"/>
    <mergeCell ref="B65:C65"/>
    <mergeCell ref="B66:C66"/>
    <mergeCell ref="I55:I56"/>
    <mergeCell ref="G57:K57"/>
    <mergeCell ref="G58:G60"/>
    <mergeCell ref="H58:I58"/>
    <mergeCell ref="H59:I59"/>
    <mergeCell ref="H60:I60"/>
    <mergeCell ref="G55:H56"/>
    <mergeCell ref="G61:K61"/>
    <mergeCell ref="G62:G66"/>
    <mergeCell ref="H62:I62"/>
    <mergeCell ref="H63:I63"/>
    <mergeCell ref="H64:I64"/>
    <mergeCell ref="H65:I65"/>
    <mergeCell ref="H66:I66"/>
  </mergeCells>
  <phoneticPr fontId="0" type="noConversion"/>
  <pageMargins left="0.74803149606299213" right="0.31496062992125984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INVESTIGADOR SENIOR</vt:lpstr>
      <vt:lpstr>INVESTIGADOR JUNIOR</vt:lpstr>
      <vt:lpstr>INVEST. EN FORMACIÓN-PRÁCTICAS</vt:lpstr>
      <vt:lpstr>TITULADOS SUPERIORES I</vt:lpstr>
      <vt:lpstr>TITULADOS SUPERIORES II</vt:lpstr>
      <vt:lpstr>TITULADOS DE GRADO MEDIO</vt:lpstr>
      <vt:lpstr>ESPECIALISTAS TECNICOS</vt:lpstr>
      <vt:lpstr>AUXILIARES</vt:lpstr>
      <vt:lpstr>PARAMETROS</vt:lpstr>
      <vt:lpstr>AUXILIARES!Área_de_impresión</vt:lpstr>
      <vt:lpstr>'INVEST. EN FORMACIÓN-PRÁCTICAS'!Área_de_impresión</vt:lpstr>
      <vt:lpstr>'INVESTIGADOR JUNIOR'!Área_de_impresión</vt:lpstr>
      <vt:lpstr>'INVESTIGADOR SENIOR'!Área_de_impresión</vt:lpstr>
      <vt:lpstr>'TITULADOS DE GRADO MEDIO'!Área_de_impresión</vt:lpstr>
      <vt:lpstr>'TITULADOS SUPERIORES I'!Área_de_impresión</vt:lpstr>
      <vt:lpstr>'TITULADOS SUPERIORES II'!Área_de_impresión</vt:lpstr>
      <vt:lpstr>AUXILIARES!Títulos_a_imprimir</vt:lpstr>
      <vt:lpstr>'INVEST. EN FORMACIÓN-PRÁCTICAS'!Títulos_a_imprimir</vt:lpstr>
      <vt:lpstr>'INVESTIGADOR JUNIOR'!Títulos_a_imprimir</vt:lpstr>
      <vt:lpstr>'INVESTIGADOR SENIOR'!Títulos_a_imprimir</vt:lpstr>
      <vt:lpstr>'TITULADOS DE GRADO MEDIO'!Títulos_a_imprimir</vt:lpstr>
      <vt:lpstr>'TITULADOS SUPERIORES I'!Títulos_a_imprimir</vt:lpstr>
      <vt:lpstr>'TITULADOS SUPERIORES II'!Títulos_a_imprimir</vt:lpstr>
    </vt:vector>
  </TitlesOfParts>
  <Company>oscar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gcremades@umh.es</dc:creator>
  <cp:lastModifiedBy>Fuentes Garcia, Susana</cp:lastModifiedBy>
  <cp:lastPrinted>2022-03-07T16:07:16Z</cp:lastPrinted>
  <dcterms:created xsi:type="dcterms:W3CDTF">2003-11-11T19:24:53Z</dcterms:created>
  <dcterms:modified xsi:type="dcterms:W3CDTF">2025-07-30T07:20:35Z</dcterms:modified>
</cp:coreProperties>
</file>